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598" activeTab="0"/>
  </bookViews>
  <sheets>
    <sheet name="Intro" sheetId="1" r:id="rId1"/>
    <sheet name="Basics" sheetId="2" r:id="rId2"/>
    <sheet name="Rating" sheetId="3" r:id="rId3"/>
    <sheet name="SP-Es" sheetId="4" r:id="rId4"/>
    <sheet name="SP-Fs" sheetId="5" r:id="rId5"/>
    <sheet name="D-Step" sheetId="6" r:id="rId6"/>
    <sheet name="S-Step" sheetId="7" r:id="rId7"/>
    <sheet name="Channel Design" sheetId="8" r:id="rId8"/>
    <sheet name="SCS Retardance" sheetId="9" r:id="rId9"/>
    <sheet name="Riprap" sheetId="10" r:id="rId10"/>
    <sheet name="Composite Design" sheetId="11" r:id="rId11"/>
    <sheet name="Composite Analysis" sheetId="12" r:id="rId12"/>
    <sheet name="Steep Channel" sheetId="13" r:id="rId13"/>
    <sheet name="Design Info" sheetId="14" r:id="rId14"/>
    <sheet name="Dialog1" sheetId="15" state="hidden" r:id="rId15"/>
    <sheet name="dialog2" sheetId="16" state="hidden" r:id="rId16"/>
    <sheet name="Dialog3" sheetId="17" state="hidden" r:id="rId17"/>
  </sheets>
  <definedNames>
    <definedName name="__123Graph_A" hidden="1">'S-Step'!$AD$20:$AD$27</definedName>
    <definedName name="__123Graph_X" hidden="1">'S-Step'!$AC$20:$AC$27</definedName>
    <definedName name="_xlnm.Print_Area" localSheetId="1">'Basics'!$A$1:$L$35</definedName>
    <definedName name="_xlnm.Print_Area" localSheetId="7">'Channel Design'!$A$1:$H$55</definedName>
    <definedName name="_xlnm.Print_Area" localSheetId="11">'Composite Analysis'!$A$2:$J$65</definedName>
    <definedName name="_xlnm.Print_Area" localSheetId="10">'Composite Design'!$A$2:$I$77</definedName>
    <definedName name="_xlnm.Print_Area" localSheetId="13">'Design Info'!$B$2:$E$45</definedName>
    <definedName name="_xlnm.Print_Area" localSheetId="5">'D-Step'!$A$1:$AV$70</definedName>
    <definedName name="_xlnm.Print_Area" localSheetId="0">'Intro'!$A$2:$H$68</definedName>
    <definedName name="_xlnm.Print_Area" localSheetId="2">'Rating'!$A$1:$P$42</definedName>
    <definedName name="_xlnm.Print_Area" localSheetId="9">'Riprap'!$A$2:$F$57</definedName>
    <definedName name="_xlnm.Print_Area" localSheetId="8">'SCS Retardance'!$A$1:$H$50</definedName>
    <definedName name="_xlnm.Print_Area" localSheetId="3">'SP-Es'!$A$1:$L$39</definedName>
    <definedName name="_xlnm.Print_Area" localSheetId="4">'SP-Fs'!$A$1:$N$39</definedName>
    <definedName name="_xlnm.Print_Area" localSheetId="6">'S-Step'!$A$1:$AV$70</definedName>
    <definedName name="_xlnm.Print_Area" localSheetId="12">'Steep Channel'!$A$2:$G$51</definedName>
    <definedName name="Print_Area_MI" localSheetId="6">'S-Step'!$A$23:$Q$41</definedName>
    <definedName name="solver_adj" localSheetId="1" hidden="1">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0.01</definedName>
  </definedNames>
  <calcPr fullCalcOnLoad="1"/>
</workbook>
</file>

<file path=xl/comments3.xml><?xml version="1.0" encoding="utf-8"?>
<comments xmlns="http://schemas.openxmlformats.org/spreadsheetml/2006/main">
  <authors>
    <author>Ken Mackenzie</author>
  </authors>
  <commentList>
    <comment ref="F11" authorId="0">
      <text>
        <r>
          <rPr>
            <b/>
            <sz val="8"/>
            <rFont val="Tahoma"/>
            <family val="0"/>
          </rPr>
          <t xml:space="preserve">UDFCD:
</t>
        </r>
        <r>
          <rPr>
            <sz val="8"/>
            <rFont val="Tahoma"/>
            <family val="2"/>
          </rPr>
          <t>If you want to use the SCS Retardance Method, just enter 
A, B, C, D,or E in this cell.  Otherwise, enter a numeric value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John T Doerfer</author>
  </authors>
  <commentList>
    <comment ref="D22" authorId="0">
      <text>
        <r>
          <rPr>
            <b/>
            <sz val="8"/>
            <rFont val="Tahoma"/>
            <family val="0"/>
          </rPr>
          <t xml:space="preserve">UDFCD:
</t>
        </r>
        <r>
          <rPr>
            <sz val="8"/>
            <rFont val="Tahoma"/>
            <family val="2"/>
          </rPr>
          <t>The program will calculate Manning's n based on the VR product.  If you wish to manually enter an n value in cell D23, leave cell D22 blank.</t>
        </r>
      </text>
    </comment>
  </commentList>
</comments>
</file>

<file path=xl/sharedStrings.xml><?xml version="1.0" encoding="utf-8"?>
<sst xmlns="http://schemas.openxmlformats.org/spreadsheetml/2006/main" count="1958" uniqueCount="629">
  <si>
    <t xml:space="preserve"> </t>
  </si>
  <si>
    <t>ft/ft</t>
  </si>
  <si>
    <t>ft</t>
  </si>
  <si>
    <t>fps</t>
  </si>
  <si>
    <t>cfs</t>
  </si>
  <si>
    <t>Urban Drainage and Flood Control District</t>
  </si>
  <si>
    <t>Denver, Colorado</t>
  </si>
  <si>
    <t>A =</t>
  </si>
  <si>
    <t>C =</t>
  </si>
  <si>
    <t>V =</t>
  </si>
  <si>
    <t>Design Information</t>
  </si>
  <si>
    <t>So =</t>
  </si>
  <si>
    <t>Channel Invert Slope</t>
  </si>
  <si>
    <t>Bottom Width</t>
  </si>
  <si>
    <t>N =</t>
  </si>
  <si>
    <t>B =</t>
  </si>
  <si>
    <t xml:space="preserve">ft </t>
  </si>
  <si>
    <t>Left Side Slope</t>
  </si>
  <si>
    <t>Z1 =</t>
  </si>
  <si>
    <t>Right Side Slope</t>
  </si>
  <si>
    <t>Z2 =</t>
  </si>
  <si>
    <t>Water Depth</t>
  </si>
  <si>
    <t>Y =</t>
  </si>
  <si>
    <t>Discharge</t>
  </si>
  <si>
    <t>Top Width</t>
  </si>
  <si>
    <t>T=</t>
  </si>
  <si>
    <t>Flow Area</t>
  </si>
  <si>
    <t>A=</t>
  </si>
  <si>
    <t>sq ft</t>
  </si>
  <si>
    <t>Hydraulic Radius</t>
  </si>
  <si>
    <t>R=</t>
  </si>
  <si>
    <t>Wetted Perimeter</t>
  </si>
  <si>
    <t>P=</t>
  </si>
  <si>
    <t>Q=</t>
  </si>
  <si>
    <t>Hydraulic Depth</t>
  </si>
  <si>
    <t xml:space="preserve">Froude Number </t>
  </si>
  <si>
    <t>Fr =</t>
  </si>
  <si>
    <t>Flow Velocity</t>
  </si>
  <si>
    <t>Critical Top Width</t>
  </si>
  <si>
    <t>Critical Flow Depth</t>
  </si>
  <si>
    <t>Critical Flow Area</t>
  </si>
  <si>
    <t>Freeboard Height</t>
  </si>
  <si>
    <t>Specific Energy</t>
  </si>
  <si>
    <t>Specific Force</t>
  </si>
  <si>
    <t>Centroid of Flow Area</t>
  </si>
  <si>
    <t>Design Discharge</t>
  </si>
  <si>
    <t xml:space="preserve">Froude Number  </t>
  </si>
  <si>
    <t>Critical Flow Velocity</t>
  </si>
  <si>
    <t>Critical Wetted Perimeter</t>
  </si>
  <si>
    <t>Critical Hydraulic Radius</t>
  </si>
  <si>
    <t>Centroid on the Critical Flow Area</t>
  </si>
  <si>
    <t>D =</t>
  </si>
  <si>
    <t>ft/100 ft</t>
  </si>
  <si>
    <t>Drop Height</t>
  </si>
  <si>
    <t>Sd=</t>
  </si>
  <si>
    <t>Proposed New Channel Slope</t>
  </si>
  <si>
    <t>Drop Height per 100 ft</t>
  </si>
  <si>
    <t>C</t>
  </si>
  <si>
    <t>A</t>
  </si>
  <si>
    <t>B</t>
  </si>
  <si>
    <t>D</t>
  </si>
  <si>
    <t>E</t>
  </si>
  <si>
    <t>Grass Type</t>
  </si>
  <si>
    <t>inches</t>
  </si>
  <si>
    <t>Check on Rock Size for Riprap</t>
  </si>
  <si>
    <t>Riprap</t>
  </si>
  <si>
    <t>D50</t>
  </si>
  <si>
    <t>VL</t>
  </si>
  <si>
    <t>L</t>
  </si>
  <si>
    <t>M</t>
  </si>
  <si>
    <t>H</t>
  </si>
  <si>
    <t>VH</t>
  </si>
  <si>
    <t>6 inch</t>
  </si>
  <si>
    <t>9 inch</t>
  </si>
  <si>
    <t>12 inch</t>
  </si>
  <si>
    <t>18 inch</t>
  </si>
  <si>
    <t>24 inch</t>
  </si>
  <si>
    <t>Grass Length</t>
  </si>
  <si>
    <t>0.7 ft &lt;Depth&lt;1.5 ft</t>
  </si>
  <si>
    <t>For Minor Runoff</t>
  </si>
  <si>
    <t>Depth&gt;3.0 ft</t>
  </si>
  <si>
    <t>For Major Runoff</t>
  </si>
  <si>
    <t>2-inch</t>
  </si>
  <si>
    <t>4-inch</t>
  </si>
  <si>
    <t>Kentucky</t>
  </si>
  <si>
    <t>Any Grass</t>
  </si>
  <si>
    <t xml:space="preserve">  Good Stand</t>
  </si>
  <si>
    <t>12-inch</t>
  </si>
  <si>
    <t>24-inch</t>
  </si>
  <si>
    <t>Fair Stand</t>
  </si>
  <si>
    <t>Left Overbank Side Slope</t>
  </si>
  <si>
    <t>ZL=</t>
  </si>
  <si>
    <t>N-left</t>
  </si>
  <si>
    <t>Right Overbank Side Slope</t>
  </si>
  <si>
    <t>ZR=</t>
  </si>
  <si>
    <t>Ym=</t>
  </si>
  <si>
    <t>Y=</t>
  </si>
  <si>
    <t>Flow area</t>
  </si>
  <si>
    <t>Wetted perimeter</t>
  </si>
  <si>
    <t>Top width</t>
  </si>
  <si>
    <t>Tm =</t>
  </si>
  <si>
    <t>Froude number</t>
  </si>
  <si>
    <t>Q =</t>
  </si>
  <si>
    <t>P =</t>
  </si>
  <si>
    <t>Critical (min) Specific Energy</t>
  </si>
  <si>
    <t>Critical (min) Specific Force</t>
  </si>
  <si>
    <t>Design Info</t>
  </si>
  <si>
    <t>Design Information (Input)</t>
  </si>
  <si>
    <t>Critical Flow Condition (Calculated)</t>
  </si>
  <si>
    <t>Critical Hydraulic Depth</t>
  </si>
  <si>
    <t>Normal Flow Condtion (Calculated)</t>
  </si>
  <si>
    <r>
      <t>Design Information (Input</t>
    </r>
    <r>
      <rPr>
        <b/>
        <sz val="9"/>
        <rFont val="Arial"/>
        <family val="2"/>
      </rPr>
      <t>)</t>
    </r>
  </si>
  <si>
    <t>T =</t>
  </si>
  <si>
    <t>R =</t>
  </si>
  <si>
    <t>Es =</t>
  </si>
  <si>
    <t>Yo =</t>
  </si>
  <si>
    <t>Fs =</t>
  </si>
  <si>
    <t>F =</t>
  </si>
  <si>
    <t>Design Water Depth</t>
  </si>
  <si>
    <t>D50 =</t>
  </si>
  <si>
    <t>Ss  =</t>
  </si>
  <si>
    <t>Channel Radius / Top Width</t>
  </si>
  <si>
    <t xml:space="preserve">Ccr/T = </t>
  </si>
  <si>
    <t>Riprap Sizing Paramenter for Outside Bend of Curve</t>
  </si>
  <si>
    <t>Design Disharge</t>
  </si>
  <si>
    <t>Ccr  =</t>
  </si>
  <si>
    <t>Type =</t>
  </si>
  <si>
    <r>
      <t>V</t>
    </r>
    <r>
      <rPr>
        <vertAlign val="subscript"/>
        <sz val="9"/>
        <rFont val="Arial"/>
        <family val="2"/>
      </rPr>
      <t>Kv</t>
    </r>
    <r>
      <rPr>
        <sz val="9"/>
        <rFont val="Arial"/>
        <family val="2"/>
      </rPr>
      <t xml:space="preserve"> =</t>
    </r>
  </si>
  <si>
    <t>Riprap Sizing Paramenter for Straight Channel</t>
  </si>
  <si>
    <t>Discharge (Check)</t>
  </si>
  <si>
    <t>K =</t>
  </si>
  <si>
    <t>Riprap Sizing Velocity For Curved Channel</t>
  </si>
  <si>
    <r>
      <t>Range  of K, K</t>
    </r>
    <r>
      <rPr>
        <b/>
        <vertAlign val="subscript"/>
        <sz val="10"/>
        <rFont val="Arial"/>
        <family val="2"/>
      </rPr>
      <t>curve</t>
    </r>
  </si>
  <si>
    <t>Flow Condition (Calculated)</t>
  </si>
  <si>
    <t>Existing Channel Condition (Input)</t>
  </si>
  <si>
    <t>Proposed Channel Condition (Calculated)</t>
  </si>
  <si>
    <t>Riprap Type (Straight Channel)</t>
  </si>
  <si>
    <t>Intermediate Rock Diameter (Straight Channel)</t>
  </si>
  <si>
    <t>Riprap Type (Outside Bend of Curved Channel)</t>
  </si>
  <si>
    <t>Intermediate Rock Dia. (O.B. of Curved Channel)</t>
  </si>
  <si>
    <t>Calculated Manning's N (Curved Channel)</t>
  </si>
  <si>
    <r>
      <t>Q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</si>
  <si>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t xml:space="preserve">Design Discharge Return Period </t>
  </si>
  <si>
    <t>years</t>
  </si>
  <si>
    <t>100-Year Discharge</t>
  </si>
  <si>
    <t>Check one of the following soil types</t>
  </si>
  <si>
    <t>Sandy Soil</t>
  </si>
  <si>
    <t>Non-Sandy Soil</t>
  </si>
  <si>
    <t>check, OR</t>
  </si>
  <si>
    <t>check</t>
  </si>
  <si>
    <r>
      <t>Year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</si>
  <si>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t>B=</t>
  </si>
  <si>
    <r>
      <t>Q</t>
    </r>
    <r>
      <rPr>
        <b/>
        <vertAlign val="subscript"/>
        <sz val="9"/>
        <rFont val="Arial"/>
        <family val="2"/>
      </rPr>
      <t>100</t>
    </r>
    <r>
      <rPr>
        <b/>
        <sz val="9"/>
        <rFont val="Arial"/>
        <family val="2"/>
      </rPr>
      <t>=</t>
    </r>
  </si>
  <si>
    <t>100-Year Flow Velocity</t>
  </si>
  <si>
    <t>100-Year Top Width</t>
  </si>
  <si>
    <t>100-Year Flow Area</t>
  </si>
  <si>
    <t xml:space="preserve">100-Year Froude Number  </t>
  </si>
  <si>
    <t>100-Year Wetted Perimeter</t>
  </si>
  <si>
    <t>100-Year Hydarulic Radius</t>
  </si>
  <si>
    <t>Existing Ground Slope Along Channel Centerline</t>
  </si>
  <si>
    <t>New Channel</t>
  </si>
  <si>
    <t>Mature Channel</t>
  </si>
  <si>
    <t>Design Discharge Flow Depth</t>
  </si>
  <si>
    <t>Design Discharge Flow Velocity</t>
  </si>
  <si>
    <t>Design Discharge Top Width</t>
  </si>
  <si>
    <t>Design Discharge Flow Area</t>
  </si>
  <si>
    <t xml:space="preserve">Design Discharge Froude Number  </t>
  </si>
  <si>
    <t>Design Discharge Wetted Perimeter</t>
  </si>
  <si>
    <t>Design Discharge Hydarulic Radius</t>
  </si>
  <si>
    <r>
      <t>Y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</si>
  <si>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r>
      <t>V</t>
    </r>
    <r>
      <rPr>
        <vertAlign val="subscript"/>
        <sz val="9"/>
        <rFont val="Arial"/>
        <family val="2"/>
      </rPr>
      <t>D</t>
    </r>
    <r>
      <rPr>
        <sz val="9"/>
        <rFont val="Arial"/>
        <family val="2"/>
      </rPr>
      <t>=</t>
    </r>
  </si>
  <si>
    <t>Design of Trapezoidal Grass-Lined Channel</t>
  </si>
  <si>
    <t>Channel Manning's N (New Condition .030 typ.)</t>
  </si>
  <si>
    <t>Channel Manning's N (Mature Condition .040 typ.)</t>
  </si>
  <si>
    <t>100-Year Flow Depth (5' maximum)</t>
  </si>
  <si>
    <t>Radius of Channel Centerline</t>
  </si>
  <si>
    <t>Top Width of Flow</t>
  </si>
  <si>
    <t>Hydraulic Radius (A/P)</t>
  </si>
  <si>
    <t>Average Flow Velocity (Q/A)</t>
  </si>
  <si>
    <t>Hydraulic Depth (A/T)</t>
  </si>
  <si>
    <t>Normal Flow Analysis - Trapezoidal Channel</t>
  </si>
  <si>
    <t>Riprap Design Velocity Factor For Curved Channel</t>
  </si>
  <si>
    <t>Non-Sandy</t>
  </si>
  <si>
    <t>Sandy</t>
  </si>
  <si>
    <t>7.0 fps</t>
  </si>
  <si>
    <t>5.0 fps</t>
  </si>
  <si>
    <r>
      <t>Max. Velocity (V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</si>
  <si>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r>
      <t>Max. Froude No. (F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</si>
  <si>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t>Soil Type:</t>
  </si>
  <si>
    <t>Grass Type:</t>
  </si>
  <si>
    <t>N-right</t>
  </si>
  <si>
    <t>Bm =</t>
  </si>
  <si>
    <r>
      <t>Y</t>
    </r>
    <r>
      <rPr>
        <b/>
        <vertAlign val="subscript"/>
        <sz val="9"/>
        <rFont val="Arial"/>
        <family val="2"/>
      </rPr>
      <t>100</t>
    </r>
    <r>
      <rPr>
        <b/>
        <sz val="9"/>
        <rFont val="Arial"/>
        <family val="2"/>
      </rPr>
      <t>=</t>
    </r>
  </si>
  <si>
    <r>
      <t>V</t>
    </r>
    <r>
      <rPr>
        <b/>
        <vertAlign val="subscript"/>
        <sz val="9"/>
        <rFont val="Arial"/>
        <family val="2"/>
      </rPr>
      <t>100</t>
    </r>
    <r>
      <rPr>
        <b/>
        <sz val="9"/>
        <rFont val="Arial"/>
        <family val="2"/>
      </rPr>
      <t>=</t>
    </r>
  </si>
  <si>
    <t>Superelevation (dh)</t>
  </si>
  <si>
    <t>dh =</t>
  </si>
  <si>
    <t>Purpose:</t>
  </si>
  <si>
    <t>Content:</t>
  </si>
  <si>
    <t>Function:</t>
  </si>
  <si>
    <t>Channel Design</t>
  </si>
  <si>
    <t>Composite Design</t>
  </si>
  <si>
    <t>Composite Analysis</t>
  </si>
  <si>
    <t>Low Flow Channel Bank-full depth</t>
  </si>
  <si>
    <t>Low Flow Channel Flow Condition  for Q100</t>
  </si>
  <si>
    <t>Low Flow Channel Bottom Width</t>
  </si>
  <si>
    <t>Low Flow Channel Left Side Slope</t>
  </si>
  <si>
    <t>Low Flow Channel Right Side Slope</t>
  </si>
  <si>
    <t>Design Discharge - Low Flow Channel</t>
  </si>
  <si>
    <t>Low Flow Channel Condition  for Qd</t>
  </si>
  <si>
    <t>Qlf =</t>
  </si>
  <si>
    <t>Blf =</t>
  </si>
  <si>
    <t>Ylf =</t>
  </si>
  <si>
    <t>Tlf =</t>
  </si>
  <si>
    <t>Fr-lf =</t>
  </si>
  <si>
    <t>Check one of the following toe protection types</t>
  </si>
  <si>
    <t>Low Flow Channel Sideslope Protection</t>
  </si>
  <si>
    <t>Alternate Overbank Toe Protection</t>
  </si>
  <si>
    <t>Q-2yr =</t>
  </si>
  <si>
    <t>Q-100yr =</t>
  </si>
  <si>
    <t>lb's</t>
  </si>
  <si>
    <t>Y* =</t>
  </si>
  <si>
    <t>k =</t>
  </si>
  <si>
    <t>P* =</t>
  </si>
  <si>
    <t>A* =</t>
  </si>
  <si>
    <t>F* =</t>
  </si>
  <si>
    <t>Q* =</t>
  </si>
  <si>
    <t>F1 =</t>
  </si>
  <si>
    <t>Y1=</t>
  </si>
  <si>
    <t>Y1-bar=</t>
  </si>
  <si>
    <t>A1 =</t>
  </si>
  <si>
    <t>V1 =</t>
  </si>
  <si>
    <t>h =</t>
  </si>
  <si>
    <t>Froude number for Q-design:</t>
  </si>
  <si>
    <t>F2 =</t>
  </si>
  <si>
    <t>Y2 =</t>
  </si>
  <si>
    <t>Y2-bar=</t>
  </si>
  <si>
    <t>A2 =</t>
  </si>
  <si>
    <t>Vw =</t>
  </si>
  <si>
    <t>V2 =</t>
  </si>
  <si>
    <t>Check the solutions by momentum principle</t>
  </si>
  <si>
    <t>Fb =</t>
  </si>
  <si>
    <t>FrL =</t>
  </si>
  <si>
    <t>FrR =</t>
  </si>
  <si>
    <t>Velocity</t>
  </si>
  <si>
    <t>Vm =</t>
  </si>
  <si>
    <t xml:space="preserve">    Range("D39").Value = So</t>
  </si>
  <si>
    <t xml:space="preserve">    Range("D41").Value = Bd</t>
  </si>
  <si>
    <t xml:space="preserve">    Range("D42").Value = Yd</t>
  </si>
  <si>
    <t xml:space="preserve">    Range("D43").Value = Td</t>
  </si>
  <si>
    <t xml:space="preserve">    Range("D44").Value = Ad</t>
  </si>
  <si>
    <t xml:space="preserve">    Range("D45").Value = Pd</t>
  </si>
  <si>
    <t xml:space="preserve">    Range("D46").Value = Nd</t>
  </si>
  <si>
    <t xml:space="preserve">    Range("D47").Value = Qdcalc</t>
  </si>
  <si>
    <t xml:space="preserve">    Range("D48").Value = Frd</t>
  </si>
  <si>
    <t xml:space="preserve">    Range("D50").Value = Bm</t>
  </si>
  <si>
    <t xml:space="preserve">    Range("D51").Value = Tm</t>
  </si>
  <si>
    <t xml:space="preserve">    Range("D52").Value = Am</t>
  </si>
  <si>
    <t xml:space="preserve">    Range("D53").Value = Pm</t>
  </si>
  <si>
    <t xml:space="preserve">    Range("D54").Value = Nm</t>
  </si>
  <si>
    <t xml:space="preserve">    Range("D55").Value = Vm</t>
  </si>
  <si>
    <t xml:space="preserve">    Range("D57").Value = BL</t>
  </si>
  <si>
    <t xml:space="preserve">    Range("D58").Value = TL</t>
  </si>
  <si>
    <t xml:space="preserve">    Range("D59").Value = AL</t>
  </si>
  <si>
    <t xml:space="preserve">    Range("D60").Value = PL</t>
  </si>
  <si>
    <t xml:space="preserve">    Range("D61").Value = VL</t>
  </si>
  <si>
    <t xml:space="preserve">    Range("D63").Value = BR</t>
  </si>
  <si>
    <t xml:space="preserve">    Range("D64").Value = TR</t>
  </si>
  <si>
    <t xml:space="preserve">    Range("D65").Value = AR</t>
  </si>
  <si>
    <t xml:space="preserve">    Range("D66").Value = PR</t>
  </si>
  <si>
    <t xml:space="preserve">    Range("D67").Value = VR</t>
  </si>
  <si>
    <t xml:space="preserve">    Range("D69").Value = T</t>
  </si>
  <si>
    <t xml:space="preserve">    Range("D70").Value = A</t>
  </si>
  <si>
    <t xml:space="preserve">    Range("D71").Value = P</t>
  </si>
  <si>
    <t xml:space="preserve">    Range("D72").Value = Q</t>
  </si>
  <si>
    <t xml:space="preserve">    Range("D73").Value = Fr</t>
  </si>
  <si>
    <t xml:space="preserve">    Range("D74").Value = N</t>
  </si>
  <si>
    <t xml:space="preserve">    Range("D76").Value = Tcr</t>
  </si>
  <si>
    <t xml:space="preserve">    Range("D77").Value = Acr</t>
  </si>
  <si>
    <t xml:space="preserve">    Range("D78").Value = Pcr</t>
  </si>
  <si>
    <t xml:space="preserve">    Range("D79").Value = Vcr</t>
  </si>
  <si>
    <t xml:space="preserve">    Range("D80").Value = Fcr</t>
  </si>
  <si>
    <t xml:space="preserve">    Range("D81").Value = Ycr</t>
  </si>
  <si>
    <t xml:space="preserve">    Range("D88").Value = VLcr</t>
  </si>
  <si>
    <t xml:space="preserve">    Range("D89").Value = FcrL</t>
  </si>
  <si>
    <t xml:space="preserve">    Range("D90").Value = YLcr</t>
  </si>
  <si>
    <t xml:space="preserve">    Range("D91").Value = Vmcr</t>
  </si>
  <si>
    <t xml:space="preserve">    Range("D92").Value = Fcrm</t>
  </si>
  <si>
    <t xml:space="preserve">    Range("D93").Value = Ymcr</t>
  </si>
  <si>
    <t>100-Yr. Critical Velocity</t>
  </si>
  <si>
    <t>100-Yr. Critical Depth</t>
  </si>
  <si>
    <t>Alf =</t>
  </si>
  <si>
    <t>N-right =</t>
  </si>
  <si>
    <t>ZR =</t>
  </si>
  <si>
    <t>N-left =</t>
  </si>
  <si>
    <t>ZL =</t>
  </si>
  <si>
    <t>Ym =</t>
  </si>
  <si>
    <t>Plf =</t>
  </si>
  <si>
    <t>Am =</t>
  </si>
  <si>
    <t>Pm =</t>
  </si>
  <si>
    <t xml:space="preserve">    Range("BA262").Value = VdCr</t>
  </si>
  <si>
    <t xml:space="preserve">    Range("BA263").Value = YdCr</t>
  </si>
  <si>
    <t/>
  </si>
  <si>
    <t xml:space="preserve">    Range("BA264").Value = Qm</t>
  </si>
  <si>
    <t xml:space="preserve">    Range("BA265").Value = QL</t>
  </si>
  <si>
    <t xml:space="preserve">    Range("BA266").Value = QR</t>
  </si>
  <si>
    <t xml:space="preserve">    Range("BA267").Value = V</t>
  </si>
  <si>
    <t>2-Year Discharge - Total</t>
  </si>
  <si>
    <t>100-Year Discharge - Total</t>
  </si>
  <si>
    <t>Overbank Toe Protection</t>
  </si>
  <si>
    <t>Channel Bottom Width</t>
  </si>
  <si>
    <t>Discharge (Calculated)</t>
  </si>
  <si>
    <t>Vlf=</t>
  </si>
  <si>
    <t>Vmc =</t>
  </si>
  <si>
    <t>Ymc =</t>
  </si>
  <si>
    <t>Yc =</t>
  </si>
  <si>
    <t>Composite Cross-Section Flow Condition for Q100</t>
  </si>
  <si>
    <t>Vc =</t>
  </si>
  <si>
    <t xml:space="preserve">    Range("BA268").Value = Vlf</t>
  </si>
  <si>
    <t>TL =</t>
  </si>
  <si>
    <t>BL =</t>
  </si>
  <si>
    <t>AL =</t>
  </si>
  <si>
    <t>VL =</t>
  </si>
  <si>
    <t>VLc =</t>
  </si>
  <si>
    <t>YLc =</t>
  </si>
  <si>
    <t>BR =</t>
  </si>
  <si>
    <t>TR =</t>
  </si>
  <si>
    <t>AR =</t>
  </si>
  <si>
    <t>PR =</t>
  </si>
  <si>
    <t>QR =</t>
  </si>
  <si>
    <t>VRc =</t>
  </si>
  <si>
    <t>YRc =</t>
  </si>
  <si>
    <t>PL =</t>
  </si>
  <si>
    <t>QL =</t>
  </si>
  <si>
    <t>Yob =</t>
  </si>
  <si>
    <t>VR =</t>
  </si>
  <si>
    <t>Left Overbank Bottom Width</t>
  </si>
  <si>
    <t>B-left =</t>
  </si>
  <si>
    <t>Z-left =</t>
  </si>
  <si>
    <t>B-right =</t>
  </si>
  <si>
    <t>Z-right =</t>
  </si>
  <si>
    <t>Left Overbank Flow Condition for Q100</t>
  </si>
  <si>
    <t>Right Overbank Flow Condition for Q100</t>
  </si>
  <si>
    <t>Overbank Bench Width</t>
  </si>
  <si>
    <t>Nm-Q100 =</t>
  </si>
  <si>
    <t>Nm-Qd =</t>
  </si>
  <si>
    <t>Vlfc =</t>
  </si>
  <si>
    <t>Ylfc =</t>
  </si>
  <si>
    <t>YRob =</t>
  </si>
  <si>
    <t>YLob =</t>
  </si>
  <si>
    <t>Qm =</t>
  </si>
  <si>
    <t>Fr-m =</t>
  </si>
  <si>
    <t>100-Yr. Critical Depth in Overbanks</t>
  </si>
  <si>
    <t>Capacity Analysis of Composite Channel</t>
  </si>
  <si>
    <t>Normal Depth in Overbanks</t>
  </si>
  <si>
    <t>Qd Critical Velocity</t>
  </si>
  <si>
    <t>Qd Critical Depth</t>
  </si>
  <si>
    <t>Velocity (average)</t>
  </si>
  <si>
    <t>Overbank Flow Depth Yob (Y - Ym)</t>
  </si>
  <si>
    <t>Frm =</t>
  </si>
  <si>
    <t>Channel Depth Y</t>
  </si>
  <si>
    <t>Channel Normal Flow Depth</t>
  </si>
  <si>
    <t>Left overbank width as a</t>
  </si>
  <si>
    <t>percentage of total overbank width</t>
  </si>
  <si>
    <t>%</t>
  </si>
  <si>
    <t>(for concrete-lined channels only)</t>
  </si>
  <si>
    <t>Dr. James C.Y. Guo, P.E.</t>
  </si>
  <si>
    <t>Professor, Department of Civil Engineering</t>
  </si>
  <si>
    <t>University of Colorado at Denver</t>
  </si>
  <si>
    <t>Acknowledgements:</t>
  </si>
  <si>
    <t>Spreadsheet Development Team:</t>
  </si>
  <si>
    <t>Wright Water Engineers, Inc.</t>
  </si>
  <si>
    <t>Comments?</t>
  </si>
  <si>
    <t>This workbook aids in determining channel cross sectional dimensions and flow capacity.</t>
  </si>
  <si>
    <t>Steep Channel</t>
  </si>
  <si>
    <t>kip</t>
  </si>
  <si>
    <t>Project:</t>
  </si>
  <si>
    <t>Channel ID:</t>
  </si>
  <si>
    <t xml:space="preserve">Kv = </t>
  </si>
  <si>
    <r>
      <t>K</t>
    </r>
    <r>
      <rPr>
        <b/>
        <vertAlign val="subscript"/>
        <sz val="9"/>
        <rFont val="Arial"/>
        <family val="2"/>
      </rPr>
      <t xml:space="preserve">curve </t>
    </r>
    <r>
      <rPr>
        <b/>
        <sz val="9"/>
        <rFont val="Arial"/>
        <family val="2"/>
      </rPr>
      <t>=</t>
    </r>
  </si>
  <si>
    <t>Specific Gravity of Rock</t>
  </si>
  <si>
    <t>Right Overbank Bottom Width</t>
  </si>
  <si>
    <t>Bermuda</t>
  </si>
  <si>
    <t>Aids in designing a grass channel with drop structures.</t>
  </si>
  <si>
    <t>Q-limit =</t>
  </si>
  <si>
    <t>Q-design =</t>
  </si>
  <si>
    <t>T* =</t>
  </si>
  <si>
    <t>Pulsating flow condition with roll waves at section 2 (downstream of the jump)</t>
  </si>
  <si>
    <t>Limiting flow condition at section 1 (upstream of the jump)</t>
  </si>
  <si>
    <t>Force-u/s =</t>
  </si>
  <si>
    <t>Force-d/s =</t>
  </si>
  <si>
    <t>Y-req. =</t>
  </si>
  <si>
    <t>Calculations of roll waves</t>
  </si>
  <si>
    <t>Roll Wave Height (Calculated)</t>
  </si>
  <si>
    <t>Y/B Ratio (Calculated)</t>
  </si>
  <si>
    <t>Required channel depth = max.(Y1+Fb, Y1+h)</t>
  </si>
  <si>
    <t>Calculated discharge in channel (check)</t>
  </si>
  <si>
    <t>Recommended Values for Manning's N in Overflow Bank Areas in Composite Channel</t>
  </si>
  <si>
    <t>&lt; 3.3</t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</si>
  <si>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3.3 to &lt; 4.0</t>
    </r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</si>
  <si>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4.0 to &lt; 4.6</t>
    </r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</si>
  <si>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4.6 to &lt; 5.6</t>
    </r>
  </si>
  <si>
    <r>
      <t xml:space="preserve"> 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 xml:space="preserve"> 5.6 to 6.4</t>
    </r>
  </si>
  <si>
    <t>Design of Composite Channel</t>
  </si>
  <si>
    <t>Critical Flow Analysis - Trapezoidal Channel</t>
  </si>
  <si>
    <t>Vlf =</t>
  </si>
  <si>
    <t>Direct all comments regarding this spreadsheet workbook to:</t>
  </si>
  <si>
    <t>UDFCD E-Mail</t>
  </si>
  <si>
    <t>Revisions?</t>
  </si>
  <si>
    <t>Downloads</t>
  </si>
  <si>
    <t>Aids in the design of concrete lined supercritical-flow channels.</t>
  </si>
  <si>
    <t>Froude Number (max. = 0.8)</t>
  </si>
  <si>
    <t>Analysis of Steep (Supercritical flow) Channel</t>
  </si>
  <si>
    <t>Aids in designing a composite (two-stage) channel section.</t>
  </si>
  <si>
    <t>Aids in analyzing an existing composite (two-stage) channel section.</t>
  </si>
  <si>
    <t>Check for revised versions of this or any other workbook at:</t>
  </si>
  <si>
    <t>X</t>
  </si>
  <si>
    <t>Manning's n (Calculated)</t>
  </si>
  <si>
    <t>Right Overbank Manning's n</t>
  </si>
  <si>
    <t>Left Overbank Manning's n</t>
  </si>
  <si>
    <t>n-left =</t>
  </si>
  <si>
    <t>n-right =</t>
  </si>
  <si>
    <t>n-lf =</t>
  </si>
  <si>
    <t>n-m =</t>
  </si>
  <si>
    <t>Cross-Sectional Manning's n (Calculated)</t>
  </si>
  <si>
    <t>n =</t>
  </si>
  <si>
    <t>Low Flow Channel Manning's Nn for Qd</t>
  </si>
  <si>
    <t>Low Flow Channel Manning's Nn for Q100</t>
  </si>
  <si>
    <t>(See USDCM Vol. II, n vs. Depth Graph)</t>
  </si>
  <si>
    <t>n-m-Q100 =</t>
  </si>
  <si>
    <t>Basics</t>
  </si>
  <si>
    <t xml:space="preserve">Applies Manning's formula to analyze the normal flow condition, and </t>
  </si>
  <si>
    <r>
      <t xml:space="preserve">applies Froude Number </t>
    </r>
    <r>
      <rPr>
        <i/>
        <sz val="10"/>
        <rFont val="Arial"/>
        <family val="2"/>
      </rPr>
      <t xml:space="preserve">Fr </t>
    </r>
    <r>
      <rPr>
        <sz val="10"/>
        <rFont val="Arial"/>
        <family val="0"/>
      </rPr>
      <t>= 1.0 to determine the critical flow condition.</t>
    </r>
  </si>
  <si>
    <t>S-Step</t>
  </si>
  <si>
    <t>DIRECT STEP METHOD FOR TRAPEZOIDAL CHANNEL</t>
  </si>
  <si>
    <t>Given Design Information:</t>
  </si>
  <si>
    <t>Normal Flow Condition</t>
  </si>
  <si>
    <t>feet</t>
  </si>
  <si>
    <t>Normal Flow Depth</t>
  </si>
  <si>
    <t>Yn =</t>
  </si>
  <si>
    <t>Wetted Periemeter</t>
  </si>
  <si>
    <t>Normal Flow Area</t>
  </si>
  <si>
    <t>An =</t>
  </si>
  <si>
    <t>Manning's n</t>
  </si>
  <si>
    <t xml:space="preserve">Longitudinal Slope </t>
  </si>
  <si>
    <t>S =</t>
  </si>
  <si>
    <t>Froude Number</t>
  </si>
  <si>
    <t>Design Flow</t>
  </si>
  <si>
    <t>Calculated Q</t>
  </si>
  <si>
    <t>Critical Flow Condition:</t>
  </si>
  <si>
    <t>Critical Depth</t>
  </si>
  <si>
    <t>Tc =</t>
  </si>
  <si>
    <t>Ac =</t>
  </si>
  <si>
    <t>M-1 BACKWATER CURVE FROM DAM DEPTH TO NORMAL DEPTH</t>
  </si>
  <si>
    <t xml:space="preserve">M-2 DRAWDOWN CURVE FROM CRITICAL DEPTH TO NORMAL DEPTH </t>
  </si>
  <si>
    <t xml:space="preserve">S-2 DRAWDOWN CURVE FROM CRITICAL DEPTH TO NORMAL DEPTH </t>
  </si>
  <si>
    <t>At Control Point</t>
  </si>
  <si>
    <t>Flow Depth at D/S Dam</t>
  </si>
  <si>
    <t>Downstream Critical Depth</t>
  </si>
  <si>
    <t>Upstream Critical Depth</t>
  </si>
  <si>
    <t>Channel Bottom Elevation at D/S Dam</t>
  </si>
  <si>
    <t>Channel Bottom Elevation at D/S Critical Section</t>
  </si>
  <si>
    <t>Channel Bottom Elevation at U/S Critical Section</t>
  </si>
  <si>
    <t>Flow</t>
  </si>
  <si>
    <t>Wetted</t>
  </si>
  <si>
    <t>Hy-</t>
  </si>
  <si>
    <t>Velo</t>
  </si>
  <si>
    <t>Spec.</t>
  </si>
  <si>
    <t>D Es</t>
  </si>
  <si>
    <t>Friciton</t>
  </si>
  <si>
    <t>Avg.</t>
  </si>
  <si>
    <t>Distance</t>
  </si>
  <si>
    <t>Station</t>
  </si>
  <si>
    <t>Central</t>
  </si>
  <si>
    <t>Invert</t>
  </si>
  <si>
    <t>Water</t>
  </si>
  <si>
    <t>Depth</t>
  </si>
  <si>
    <t>Area</t>
  </si>
  <si>
    <t>P-meter</t>
  </si>
  <si>
    <t>radius</t>
  </si>
  <si>
    <t>Velo.</t>
  </si>
  <si>
    <t>Head</t>
  </si>
  <si>
    <t>Energy</t>
  </si>
  <si>
    <t>Slope</t>
  </si>
  <si>
    <t>Force</t>
  </si>
  <si>
    <t>Elev.</t>
  </si>
  <si>
    <t>Eelv.</t>
  </si>
  <si>
    <t>Y</t>
  </si>
  <si>
    <t xml:space="preserve">A </t>
  </si>
  <si>
    <t xml:space="preserve">P </t>
  </si>
  <si>
    <t xml:space="preserve">R </t>
  </si>
  <si>
    <t>V</t>
  </si>
  <si>
    <t>V^2/2g</t>
  </si>
  <si>
    <t>Es</t>
  </si>
  <si>
    <t>Sf</t>
  </si>
  <si>
    <t>DX</t>
  </si>
  <si>
    <t>Yo</t>
  </si>
  <si>
    <t>Fs</t>
  </si>
  <si>
    <t>Z</t>
  </si>
  <si>
    <t>1+6</t>
  </si>
  <si>
    <t>8/10</t>
  </si>
  <si>
    <t>1+15</t>
  </si>
  <si>
    <t xml:space="preserve">  ft</t>
  </si>
  <si>
    <t xml:space="preserve"> ft^2</t>
  </si>
  <si>
    <t xml:space="preserve">   ft</t>
  </si>
  <si>
    <t xml:space="preserve">  fps</t>
  </si>
  <si>
    <t xml:space="preserve">     ft</t>
  </si>
  <si>
    <t xml:space="preserve"> klb's</t>
  </si>
  <si>
    <t>STANDARD STEP METHOD FOR TRAPEZOIDAL CHANNEL</t>
  </si>
  <si>
    <t>M-2 DRAWDOWN CURVE FROM CRITICAL DEPTH TO NORMAL DEPTH</t>
  </si>
  <si>
    <t>S-2 DRAWDOWN CURVE FROM CRITICAL DEPTH TO NORMAL DEPTH</t>
  </si>
  <si>
    <t>Channel Bottom Elevation</t>
  </si>
  <si>
    <t>GUESS</t>
  </si>
  <si>
    <t>Cal.</t>
  </si>
  <si>
    <t>Hy.</t>
  </si>
  <si>
    <t>Friction</t>
  </si>
  <si>
    <t>Ave.</t>
  </si>
  <si>
    <t>Minor</t>
  </si>
  <si>
    <t>CHECK</t>
  </si>
  <si>
    <t>Elev</t>
  </si>
  <si>
    <t>Radius</t>
  </si>
  <si>
    <t>Loss</t>
  </si>
  <si>
    <t>Difference</t>
  </si>
  <si>
    <t>3+6+7</t>
  </si>
  <si>
    <t>2x12</t>
  </si>
  <si>
    <t>H**-H=0</t>
  </si>
  <si>
    <t xml:space="preserve"> A</t>
  </si>
  <si>
    <t>H**</t>
  </si>
  <si>
    <t>hf</t>
  </si>
  <si>
    <t>He</t>
  </si>
  <si>
    <t xml:space="preserve">H </t>
  </si>
  <si>
    <t xml:space="preserve"> fps</t>
  </si>
  <si>
    <t xml:space="preserve">  ft/ft</t>
  </si>
  <si>
    <t xml:space="preserve"> ft</t>
  </si>
  <si>
    <t>Applies the Direct Step Method to develop M1, M2, &amp; S2 analyses</t>
  </si>
  <si>
    <t>Applies the Standard Step Method to develop M1, M2, &amp; S2 analyses</t>
  </si>
  <si>
    <t>Limiting Manning's n</t>
  </si>
  <si>
    <t>RATING CURVE FOR TRAPEZOIDAL CHANNEL</t>
  </si>
  <si>
    <t>Hydraulic</t>
  </si>
  <si>
    <t>Froude</t>
  </si>
  <si>
    <t>Perimeter</t>
  </si>
  <si>
    <t>rate</t>
  </si>
  <si>
    <t>Number</t>
  </si>
  <si>
    <t xml:space="preserve">Q </t>
  </si>
  <si>
    <t xml:space="preserve">Fr </t>
  </si>
  <si>
    <t>(ft)</t>
  </si>
  <si>
    <t>(sq ft)</t>
  </si>
  <si>
    <t>(fps)</t>
  </si>
  <si>
    <t>(cfs)</t>
  </si>
  <si>
    <t>Sp.</t>
  </si>
  <si>
    <t>SPECIFIC ENERGY CURVE FOR TRAPEZOIDAL CHANNEL</t>
  </si>
  <si>
    <t>Top</t>
  </si>
  <si>
    <t>Width</t>
  </si>
  <si>
    <t>Numer</t>
  </si>
  <si>
    <t xml:space="preserve">T </t>
  </si>
  <si>
    <t>SPECIFIC FORCE CURVE FOR TRAPEZOIDAL CHANNEL</t>
  </si>
  <si>
    <t>Klbs</t>
  </si>
  <si>
    <t>Rating</t>
  </si>
  <si>
    <t>SP-Es</t>
  </si>
  <si>
    <t>SP-Fs</t>
  </si>
  <si>
    <t>Produces a rating curve for a trapezoidal channel.</t>
  </si>
  <si>
    <t>Produces a specific energy curve for a given flow in a trapezoidal channel.</t>
  </si>
  <si>
    <t>Produces a specific force curve for a given flow in a trapezoidal channel.</t>
  </si>
  <si>
    <t>Aids in the design of a riprap-lined channel.</t>
  </si>
  <si>
    <t>Provides recommended Manning's n value guidance for low-flow section and overbanks in composite channels.</t>
  </si>
  <si>
    <t>Design discharge</t>
  </si>
  <si>
    <t xml:space="preserve">Bottom width                                        </t>
  </si>
  <si>
    <t xml:space="preserve">Side slope                                 </t>
  </si>
  <si>
    <t xml:space="preserve">Channel slope                           </t>
  </si>
  <si>
    <t>Channel Manning's n</t>
  </si>
  <si>
    <t>Flow depth to width ratio (Y/B)</t>
  </si>
  <si>
    <t>Value of k = (1+z^2)^0.5</t>
  </si>
  <si>
    <t>Wetted perimeter (P/B)</t>
  </si>
  <si>
    <t>Top width  (T/B)</t>
  </si>
  <si>
    <t>Flow area  (A/B^2)</t>
  </si>
  <si>
    <t>Max. Froude number without roll waves</t>
  </si>
  <si>
    <t xml:space="preserve">Limiting discharge parameter </t>
  </si>
  <si>
    <t>Max. discharge without roll waves</t>
  </si>
  <si>
    <t>Limiting Froude number (F*)</t>
  </si>
  <si>
    <t>Normal depth upstream of the jump = Y*B</t>
  </si>
  <si>
    <t>Depth to the centroid of  A1 = 0.5(Y1)</t>
  </si>
  <si>
    <t xml:space="preserve">Flow area  upstream of the jump = A*B^2 </t>
  </si>
  <si>
    <t xml:space="preserve">Flow velocity  upstream of the jump = Q/A1 </t>
  </si>
  <si>
    <t>Required freeboard w/o roll waves= 2+0.025*V1*Y1^0.33</t>
  </si>
  <si>
    <t>Flow depth downstream of the jump = Y1+h</t>
  </si>
  <si>
    <t xml:space="preserve">Depth to the centroid of A2 = 0.5(Y2) </t>
  </si>
  <si>
    <t xml:space="preserve">Flow area downstream of the jump      </t>
  </si>
  <si>
    <t xml:space="preserve">Wave speed                               </t>
  </si>
  <si>
    <t>Flow velocity downstream of the jump</t>
  </si>
  <si>
    <t xml:space="preserve">Wave celerity = Vw-V2 </t>
  </si>
  <si>
    <t xml:space="preserve">Calculated roll wave height  </t>
  </si>
  <si>
    <t>Force upstream of jump = ((Vw-V1)*(V2-V1))</t>
  </si>
  <si>
    <t>Force downstream of jump = (g*(Y2-bar -A1/A2*Y1-bar))</t>
  </si>
  <si>
    <t>Z =</t>
  </si>
  <si>
    <t>n  =</t>
  </si>
  <si>
    <t>Calculated Manning's n (Straight Channel)</t>
  </si>
  <si>
    <t>1.  To calculate normal &amp; critical flow conditions.</t>
  </si>
  <si>
    <t>2.  To develop a rating curve for a trapezoidal channel.</t>
  </si>
  <si>
    <t>7.  To select rock size for riprap-lined channel cross-section.</t>
  </si>
  <si>
    <t>8.  To calculate the conveyance capacity for a composite (two-stage) channel section.</t>
  </si>
  <si>
    <t>9.  To determine the flow characteristics in a supercritical steep channel.</t>
  </si>
  <si>
    <t>3.  To develop specific energy and specific force curves.</t>
  </si>
  <si>
    <t>5.  To apply Standard Step Method to analyze M1, M2, and S2 curves.</t>
  </si>
  <si>
    <t>4.  To apply Direct Step Method to analyze M1, M2, and S2 curves.</t>
  </si>
  <si>
    <t>6.  To design or analyze a grass-lined channel cross-section.</t>
  </si>
  <si>
    <t>Esc =</t>
  </si>
  <si>
    <t>Yoc =</t>
  </si>
  <si>
    <t>Fsc =</t>
  </si>
  <si>
    <t>D-Step</t>
  </si>
  <si>
    <t>The workbook consists of the following 13 sheets:</t>
  </si>
  <si>
    <t>SCS Retardance</t>
  </si>
  <si>
    <t>Employs the SCS vegetal retardance curves for types C and D grass-lined channels.</t>
  </si>
  <si>
    <t>NRCS Vegetal Retardance (A,B,C,D, or E)</t>
  </si>
  <si>
    <t>Manning's n (if cell D22 is NOT B or C)</t>
  </si>
  <si>
    <t>Velocity-Depth Product</t>
  </si>
  <si>
    <t>ft^2/s</t>
  </si>
  <si>
    <t>Iterations Processed:</t>
  </si>
  <si>
    <t>Design of Riprap Channel Cross Section</t>
  </si>
  <si>
    <t>Analysis of Trapezoidal Grass-Lined Channel Using SCS Method</t>
  </si>
  <si>
    <t>UDFCD OPEN CHANNEL DESIGN WORKBOOK</t>
  </si>
  <si>
    <r>
      <t>n</t>
    </r>
    <r>
      <rPr>
        <vertAlign val="subscript"/>
        <sz val="9"/>
        <rFont val="Arial"/>
        <family val="2"/>
      </rPr>
      <t>new</t>
    </r>
    <r>
      <rPr>
        <sz val="9"/>
        <rFont val="Arial"/>
        <family val="2"/>
      </rPr>
      <t>=</t>
    </r>
  </si>
  <si>
    <r>
      <t>n</t>
    </r>
    <r>
      <rPr>
        <vertAlign val="subscript"/>
        <sz val="9"/>
        <rFont val="Arial"/>
        <family val="2"/>
      </rPr>
      <t>mature</t>
    </r>
    <r>
      <rPr>
        <sz val="9"/>
        <rFont val="Arial"/>
        <family val="2"/>
      </rPr>
      <t>=</t>
    </r>
  </si>
  <si>
    <t>Manning's</t>
  </si>
  <si>
    <t>Roughness</t>
  </si>
  <si>
    <t>n</t>
  </si>
  <si>
    <t>Iterations</t>
  </si>
  <si>
    <t>VR Product</t>
  </si>
  <si>
    <t>Manning's n or SCS Retardance Curve</t>
  </si>
  <si>
    <t>Version 1.04  Released October 2006</t>
  </si>
  <si>
    <t>Ken A. MacKenzie, P.E., and Katie Farnum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</si>
</sst>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mmmm\ d\,\ yyyy"/>
    <numFmt numFmtId="169" formatCode="0.00000"/>
    <numFmt numFmtId="170" formatCode="#,##0.000"/>
    <numFmt numFmtId="171" formatCode="0.000000"/>
    <numFmt numFmtId="172" formatCode="#,##0.0000"/>
    <numFmt numFmtId="173" formatCode="#,##0.00000"/>
    <numFmt numFmtId="174" formatCode="00000"/>
    <numFmt numFmtId="175" formatCode="#,##0.0000000"/>
    <numFmt numFmtId="176" formatCode="#,##0.000000"/>
    <numFmt numFmtId="177" formatCode="#,##0.00000000"/>
    <numFmt numFmtId="178" formatCode="#,##0.000_);\(#,##0.000\)"/>
    <numFmt numFmtId="179" formatCode="#,##0.0000_);\(#,##0.0000\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_)"/>
    <numFmt numFmtId="185" formatCode="0.00_)"/>
    <numFmt numFmtId="186" formatCode="0.000_)"/>
    <numFmt numFmtId="187" formatCode="0.0000_)"/>
    <numFmt numFmtId="188" formatCode="0_)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000000000000"/>
    <numFmt numFmtId="201" formatCode="0.00_ "/>
    <numFmt numFmtId="202" formatCode="[$-409]h:mm:ss\ AM/PM"/>
    <numFmt numFmtId="203" formatCode="[$-409]dddd\,\ mmmm\ dd\,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sz val="8"/>
      <name val="Tahoma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double"/>
      <sz val="14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8"/>
      <name val="Tahoma"/>
      <family val="0"/>
    </font>
    <font>
      <sz val="9.2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  <font>
      <b/>
      <sz val="8.75"/>
      <name val="Arial"/>
      <family val="0"/>
    </font>
    <font>
      <sz val="4.5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167" fontId="3" fillId="3" borderId="2" xfId="0" applyNumberFormat="1" applyFont="1" applyFill="1" applyBorder="1" applyAlignment="1" applyProtection="1">
      <alignment/>
      <protection locked="0"/>
    </xf>
    <xf numFmtId="4" fontId="3" fillId="3" borderId="2" xfId="0" applyNumberFormat="1" applyFont="1" applyFill="1" applyBorder="1" applyAlignment="1" applyProtection="1">
      <alignment/>
      <protection locked="0"/>
    </xf>
    <xf numFmtId="2" fontId="3" fillId="3" borderId="2" xfId="0" applyNumberFormat="1" applyFont="1" applyFill="1" applyBorder="1" applyAlignment="1" applyProtection="1">
      <alignment horizontal="right"/>
      <protection locked="0"/>
    </xf>
    <xf numFmtId="167" fontId="3" fillId="3" borderId="2" xfId="0" applyNumberFormat="1" applyFont="1" applyFill="1" applyBorder="1" applyAlignment="1" applyProtection="1">
      <alignment horizontal="right"/>
      <protection locked="0"/>
    </xf>
    <xf numFmtId="2" fontId="0" fillId="2" borderId="3" xfId="0" applyNumberFormat="1" applyFont="1" applyFill="1" applyBorder="1" applyAlignment="1" applyProtection="1">
      <alignment/>
      <protection/>
    </xf>
    <xf numFmtId="2" fontId="5" fillId="2" borderId="0" xfId="0" applyNumberFormat="1" applyFont="1" applyFill="1" applyBorder="1" applyAlignment="1" applyProtection="1">
      <alignment/>
      <protection/>
    </xf>
    <xf numFmtId="167" fontId="3" fillId="3" borderId="4" xfId="0" applyNumberFormat="1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/>
      <protection hidden="1"/>
    </xf>
    <xf numFmtId="167" fontId="3" fillId="3" borderId="2" xfId="0" applyNumberFormat="1" applyFont="1" applyFill="1" applyBorder="1" applyAlignment="1" applyProtection="1">
      <alignment/>
      <protection hidden="1"/>
    </xf>
    <xf numFmtId="172" fontId="3" fillId="3" borderId="2" xfId="0" applyNumberFormat="1" applyFont="1" applyFill="1" applyBorder="1" applyAlignment="1" applyProtection="1">
      <alignment/>
      <protection hidden="1"/>
    </xf>
    <xf numFmtId="4" fontId="3" fillId="3" borderId="2" xfId="0" applyNumberFormat="1" applyFont="1" applyFill="1" applyBorder="1" applyAlignment="1" applyProtection="1">
      <alignment/>
      <protection hidden="1"/>
    </xf>
    <xf numFmtId="2" fontId="3" fillId="3" borderId="2" xfId="0" applyNumberFormat="1" applyFont="1" applyFill="1" applyBorder="1" applyAlignment="1" applyProtection="1">
      <alignment/>
      <protection hidden="1"/>
    </xf>
    <xf numFmtId="3" fontId="4" fillId="3" borderId="4" xfId="0" applyNumberFormat="1" applyFont="1" applyFill="1" applyBorder="1" applyAlignment="1" applyProtection="1">
      <alignment/>
      <protection hidden="1"/>
    </xf>
    <xf numFmtId="167" fontId="4" fillId="3" borderId="2" xfId="0" applyNumberFormat="1" applyFont="1" applyFill="1" applyBorder="1" applyAlignment="1" applyProtection="1">
      <alignment/>
      <protection hidden="1"/>
    </xf>
    <xf numFmtId="3" fontId="4" fillId="3" borderId="2" xfId="0" applyNumberFormat="1" applyFont="1" applyFill="1" applyBorder="1" applyAlignment="1" applyProtection="1">
      <alignment/>
      <protection hidden="1"/>
    </xf>
    <xf numFmtId="4" fontId="4" fillId="3" borderId="2" xfId="0" applyNumberFormat="1" applyFont="1" applyFill="1" applyBorder="1" applyAlignment="1" applyProtection="1">
      <alignment/>
      <protection hidden="1"/>
    </xf>
    <xf numFmtId="167" fontId="4" fillId="3" borderId="4" xfId="0" applyNumberFormat="1" applyFont="1" applyFill="1" applyBorder="1" applyAlignment="1" applyProtection="1">
      <alignment/>
      <protection hidden="1"/>
    </xf>
    <xf numFmtId="172" fontId="4" fillId="3" borderId="4" xfId="0" applyNumberFormat="1" applyFont="1" applyFill="1" applyBorder="1" applyAlignment="1" applyProtection="1">
      <alignment/>
      <protection hidden="1"/>
    </xf>
    <xf numFmtId="2" fontId="4" fillId="3" borderId="2" xfId="0" applyNumberFormat="1" applyFont="1" applyFill="1" applyBorder="1" applyAlignment="1" applyProtection="1">
      <alignment/>
      <protection hidden="1"/>
    </xf>
    <xf numFmtId="2" fontId="4" fillId="3" borderId="4" xfId="0" applyNumberFormat="1" applyFont="1" applyFill="1" applyBorder="1" applyAlignment="1" applyProtection="1">
      <alignment/>
      <protection hidden="1"/>
    </xf>
    <xf numFmtId="4" fontId="1" fillId="3" borderId="2" xfId="0" applyNumberFormat="1" applyFont="1" applyFill="1" applyBorder="1" applyAlignment="1" applyProtection="1">
      <alignment/>
      <protection locked="0"/>
    </xf>
    <xf numFmtId="2" fontId="0" fillId="4" borderId="2" xfId="0" applyNumberFormat="1" applyFont="1" applyFill="1" applyBorder="1" applyAlignment="1" applyProtection="1">
      <alignment horizontal="right"/>
      <protection locked="0"/>
    </xf>
    <xf numFmtId="164" fontId="0" fillId="5" borderId="2" xfId="0" applyNumberFormat="1" applyFont="1" applyFill="1" applyBorder="1" applyAlignment="1" applyProtection="1">
      <alignment horizontal="right"/>
      <protection locked="0"/>
    </xf>
    <xf numFmtId="164" fontId="3" fillId="5" borderId="4" xfId="0" applyNumberFormat="1" applyFont="1" applyFill="1" applyBorder="1" applyAlignment="1" applyProtection="1">
      <alignment/>
      <protection locked="0"/>
    </xf>
    <xf numFmtId="165" fontId="3" fillId="5" borderId="2" xfId="0" applyNumberFormat="1" applyFont="1" applyFill="1" applyBorder="1" applyAlignment="1" applyProtection="1">
      <alignment/>
      <protection locked="0"/>
    </xf>
    <xf numFmtId="2" fontId="8" fillId="5" borderId="2" xfId="0" applyNumberFormat="1" applyFont="1" applyFill="1" applyBorder="1" applyAlignment="1" applyProtection="1">
      <alignment/>
      <protection locked="0"/>
    </xf>
    <xf numFmtId="1" fontId="3" fillId="5" borderId="2" xfId="0" applyNumberFormat="1" applyFont="1" applyFill="1" applyBorder="1" applyAlignment="1" applyProtection="1">
      <alignment/>
      <protection locked="0"/>
    </xf>
    <xf numFmtId="164" fontId="3" fillId="5" borderId="2" xfId="0" applyNumberFormat="1" applyFont="1" applyFill="1" applyBorder="1" applyAlignment="1" applyProtection="1">
      <alignment/>
      <protection locked="0"/>
    </xf>
    <xf numFmtId="49" fontId="4" fillId="5" borderId="4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165" fontId="3" fillId="5" borderId="4" xfId="0" applyNumberFormat="1" applyFont="1" applyFill="1" applyBorder="1" applyAlignment="1" applyProtection="1">
      <alignment horizontal="right"/>
      <protection locked="0"/>
    </xf>
    <xf numFmtId="164" fontId="10" fillId="5" borderId="4" xfId="0" applyNumberFormat="1" applyFont="1" applyFill="1" applyBorder="1" applyAlignment="1" applyProtection="1">
      <alignment horizontal="center"/>
      <protection locked="0"/>
    </xf>
    <xf numFmtId="2" fontId="3" fillId="5" borderId="2" xfId="0" applyNumberFormat="1" applyFont="1" applyFill="1" applyBorder="1" applyAlignment="1" applyProtection="1">
      <alignment/>
      <protection locked="0"/>
    </xf>
    <xf numFmtId="3" fontId="3" fillId="5" borderId="4" xfId="0" applyNumberFormat="1" applyFont="1" applyFill="1" applyBorder="1" applyAlignment="1" applyProtection="1">
      <alignment horizontal="right"/>
      <protection locked="0"/>
    </xf>
    <xf numFmtId="167" fontId="3" fillId="5" borderId="2" xfId="0" applyNumberFormat="1" applyFont="1" applyFill="1" applyBorder="1" applyAlignment="1" applyProtection="1">
      <alignment horizontal="right"/>
      <protection locked="0"/>
    </xf>
    <xf numFmtId="2" fontId="3" fillId="5" borderId="2" xfId="0" applyNumberFormat="1" applyFont="1" applyFill="1" applyBorder="1" applyAlignment="1" applyProtection="1">
      <alignment horizontal="right"/>
      <protection locked="0"/>
    </xf>
    <xf numFmtId="164" fontId="3" fillId="5" borderId="2" xfId="0" applyNumberFormat="1" applyFont="1" applyFill="1" applyBorder="1" applyAlignment="1" applyProtection="1">
      <alignment horizontal="right"/>
      <protection locked="0"/>
    </xf>
    <xf numFmtId="2" fontId="3" fillId="5" borderId="4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11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64" fontId="3" fillId="2" borderId="0" xfId="0" applyNumberFormat="1" applyFont="1" applyFill="1" applyAlignment="1" applyProtection="1">
      <alignment/>
      <protection locked="0"/>
    </xf>
    <xf numFmtId="2" fontId="3" fillId="2" borderId="0" xfId="0" applyNumberFormat="1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 locked="0"/>
    </xf>
    <xf numFmtId="8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2" fontId="8" fillId="3" borderId="4" xfId="0" applyNumberFormat="1" applyFont="1" applyFill="1" applyBorder="1" applyAlignment="1" applyProtection="1">
      <alignment/>
      <protection locked="0"/>
    </xf>
    <xf numFmtId="0" fontId="11" fillId="2" borderId="8" xfId="0" applyFont="1" applyFill="1" applyBorder="1" applyAlignment="1" applyProtection="1">
      <alignment/>
      <protection/>
    </xf>
    <xf numFmtId="2" fontId="3" fillId="2" borderId="0" xfId="0" applyNumberFormat="1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167" fontId="4" fillId="3" borderId="2" xfId="0" applyNumberFormat="1" applyFont="1" applyFill="1" applyBorder="1" applyAlignment="1" applyProtection="1">
      <alignment/>
      <protection locked="0"/>
    </xf>
    <xf numFmtId="2" fontId="3" fillId="2" borderId="6" xfId="0" applyNumberFormat="1" applyFont="1" applyFill="1" applyBorder="1" applyAlignment="1" applyProtection="1">
      <alignment/>
      <protection/>
    </xf>
    <xf numFmtId="2" fontId="3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3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30" fillId="2" borderId="0" xfId="20" applyFill="1" applyAlignment="1">
      <alignment/>
    </xf>
    <xf numFmtId="2" fontId="4" fillId="3" borderId="4" xfId="0" applyNumberFormat="1" applyFont="1" applyFill="1" applyBorder="1" applyAlignment="1" applyProtection="1">
      <alignment horizontal="right"/>
      <protection locked="0"/>
    </xf>
    <xf numFmtId="1" fontId="4" fillId="3" borderId="2" xfId="0" applyNumberFormat="1" applyFont="1" applyFill="1" applyBorder="1" applyAlignment="1" applyProtection="1">
      <alignment/>
      <protection locked="0"/>
    </xf>
    <xf numFmtId="164" fontId="8" fillId="3" borderId="2" xfId="0" applyNumberFormat="1" applyFont="1" applyFill="1" applyBorder="1" applyAlignment="1" applyProtection="1">
      <alignment/>
      <protection locked="0"/>
    </xf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justify"/>
      <protection hidden="1"/>
    </xf>
    <xf numFmtId="0" fontId="22" fillId="2" borderId="0" xfId="0" applyNumberFormat="1" applyFont="1" applyFill="1" applyAlignment="1" applyProtection="1">
      <alignment horizontal="right"/>
      <protection hidden="1"/>
    </xf>
    <xf numFmtId="0" fontId="3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justify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justify"/>
      <protection hidden="1"/>
    </xf>
    <xf numFmtId="0" fontId="3" fillId="2" borderId="0" xfId="0" applyFont="1" applyFill="1" applyBorder="1" applyAlignment="1" applyProtection="1">
      <alignment horizontal="justify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NumberFormat="1" applyFont="1" applyFill="1" applyAlignment="1" applyProtection="1">
      <alignment horizontal="right"/>
      <protection hidden="1"/>
    </xf>
    <xf numFmtId="0" fontId="4" fillId="2" borderId="5" xfId="0" applyNumberFormat="1" applyFont="1" applyFill="1" applyBorder="1" applyAlignment="1" applyProtection="1">
      <alignment horizontal="right"/>
      <protection hidden="1"/>
    </xf>
    <xf numFmtId="0" fontId="4" fillId="2" borderId="6" xfId="0" applyNumberFormat="1" applyFont="1" applyFill="1" applyBorder="1" applyAlignment="1" applyProtection="1">
      <alignment horizontal="right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11" fillId="2" borderId="8" xfId="0" applyFont="1" applyFill="1" applyBorder="1" applyAlignment="1" applyProtection="1">
      <alignment horizontal="left"/>
      <protection hidden="1"/>
    </xf>
    <xf numFmtId="0" fontId="4" fillId="2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/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2" fontId="5" fillId="2" borderId="0" xfId="0" applyNumberFormat="1" applyFont="1" applyFill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8" xfId="0" applyNumberFormat="1" applyFont="1" applyFill="1" applyBorder="1" applyAlignment="1" applyProtection="1">
      <alignment/>
      <protection hidden="1"/>
    </xf>
    <xf numFmtId="0" fontId="4" fillId="2" borderId="0" xfId="0" applyNumberFormat="1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/>
      <protection hidden="1"/>
    </xf>
    <xf numFmtId="2" fontId="3" fillId="2" borderId="6" xfId="0" applyNumberFormat="1" applyFont="1" applyFill="1" applyBorder="1" applyAlignment="1" applyProtection="1">
      <alignment/>
      <protection hidden="1"/>
    </xf>
    <xf numFmtId="2" fontId="3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0" fontId="0" fillId="2" borderId="8" xfId="0" applyFill="1" applyBorder="1" applyAlignment="1" applyProtection="1">
      <alignment horizontal="justify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0" fontId="29" fillId="2" borderId="0" xfId="0" applyNumberFormat="1" applyFont="1" applyFill="1" applyAlignment="1" applyProtection="1">
      <alignment horizontal="left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49" fontId="5" fillId="2" borderId="0" xfId="0" applyNumberFormat="1" applyFont="1" applyFill="1" applyAlignment="1" applyProtection="1">
      <alignment horizontal="left"/>
      <protection hidden="1"/>
    </xf>
    <xf numFmtId="2" fontId="35" fillId="2" borderId="0" xfId="0" applyNumberFormat="1" applyFont="1" applyFill="1" applyAlignment="1" applyProtection="1">
      <alignment horizontal="left"/>
      <protection hidden="1"/>
    </xf>
    <xf numFmtId="2" fontId="22" fillId="2" borderId="0" xfId="0" applyNumberFormat="1" applyFont="1" applyFill="1" applyAlignment="1" applyProtection="1">
      <alignment horizontal="left"/>
      <protection hidden="1"/>
    </xf>
    <xf numFmtId="0" fontId="1" fillId="2" borderId="0" xfId="0" applyNumberFormat="1" applyFont="1" applyFill="1" applyAlignment="1" applyProtection="1">
      <alignment horizontal="left"/>
      <protection hidden="1"/>
    </xf>
    <xf numFmtId="164" fontId="0" fillId="2" borderId="0" xfId="0" applyNumberFormat="1" applyFill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166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29" fillId="2" borderId="0" xfId="0" applyFont="1" applyFill="1" applyAlignment="1" applyProtection="1">
      <alignment horizontal="right"/>
      <protection locked="0"/>
    </xf>
    <xf numFmtId="2" fontId="32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26" fillId="2" borderId="0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/>
      <protection hidden="1"/>
    </xf>
    <xf numFmtId="0" fontId="11" fillId="2" borderId="5" xfId="0" applyNumberFormat="1" applyFont="1" applyFill="1" applyBorder="1" applyAlignment="1" applyProtection="1">
      <alignment/>
      <protection hidden="1"/>
    </xf>
    <xf numFmtId="0" fontId="0" fillId="2" borderId="6" xfId="0" applyNumberFormat="1" applyFill="1" applyBorder="1" applyAlignment="1" applyProtection="1">
      <alignment/>
      <protection hidden="1"/>
    </xf>
    <xf numFmtId="0" fontId="0" fillId="2" borderId="7" xfId="0" applyNumberFormat="1" applyFill="1" applyBorder="1" applyAlignment="1" applyProtection="1">
      <alignment/>
      <protection hidden="1"/>
    </xf>
    <xf numFmtId="0" fontId="3" fillId="2" borderId="8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9" xfId="0" applyNumberFormat="1" applyFont="1" applyFill="1" applyBorder="1" applyAlignment="1" applyProtection="1">
      <alignment/>
      <protection hidden="1"/>
    </xf>
    <xf numFmtId="0" fontId="24" fillId="2" borderId="0" xfId="0" applyNumberFormat="1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right"/>
      <protection hidden="1"/>
    </xf>
    <xf numFmtId="0" fontId="25" fillId="2" borderId="0" xfId="0" applyNumberFormat="1" applyFont="1" applyFill="1" applyBorder="1" applyAlignment="1" applyProtection="1">
      <alignment/>
      <protection hidden="1"/>
    </xf>
    <xf numFmtId="0" fontId="1" fillId="2" borderId="11" xfId="0" applyNumberFormat="1" applyFont="1" applyFill="1" applyBorder="1" applyAlignment="1" applyProtection="1">
      <alignment/>
      <protection hidden="1"/>
    </xf>
    <xf numFmtId="0" fontId="0" fillId="2" borderId="6" xfId="0" applyNumberFormat="1" applyFont="1" applyFill="1" applyBorder="1" applyAlignment="1" applyProtection="1">
      <alignment horizontal="right"/>
      <protection hidden="1"/>
    </xf>
    <xf numFmtId="0" fontId="25" fillId="2" borderId="6" xfId="0" applyNumberFormat="1" applyFont="1" applyFill="1" applyBorder="1" applyAlignment="1" applyProtection="1">
      <alignment/>
      <protection hidden="1"/>
    </xf>
    <xf numFmtId="0" fontId="1" fillId="2" borderId="7" xfId="0" applyNumberFormat="1" applyFont="1" applyFill="1" applyBorder="1" applyAlignment="1" applyProtection="1">
      <alignment/>
      <protection hidden="1"/>
    </xf>
    <xf numFmtId="0" fontId="27" fillId="2" borderId="0" xfId="0" applyNumberFormat="1" applyFont="1" applyFill="1" applyBorder="1" applyAlignment="1" applyProtection="1">
      <alignment/>
      <protection hidden="1"/>
    </xf>
    <xf numFmtId="179" fontId="27" fillId="2" borderId="9" xfId="0" applyNumberFormat="1" applyFont="1" applyFill="1" applyBorder="1" applyAlignment="1" applyProtection="1" quotePrefix="1">
      <alignment/>
      <protection hidden="1"/>
    </xf>
    <xf numFmtId="0" fontId="25" fillId="2" borderId="0" xfId="0" applyNumberFormat="1" applyFont="1" applyFill="1" applyBorder="1" applyAlignment="1" applyProtection="1">
      <alignment/>
      <protection hidden="1"/>
    </xf>
    <xf numFmtId="178" fontId="0" fillId="2" borderId="9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178" fontId="0" fillId="2" borderId="9" xfId="0" applyNumberFormat="1" applyFont="1" applyFill="1" applyBorder="1" applyAlignment="1" applyProtection="1" quotePrefix="1">
      <alignment/>
      <protection hidden="1"/>
    </xf>
    <xf numFmtId="0" fontId="24" fillId="2" borderId="0" xfId="0" applyNumberFormat="1" applyFont="1" applyFill="1" applyBorder="1" applyAlignment="1" applyProtection="1">
      <alignment/>
      <protection hidden="1"/>
    </xf>
    <xf numFmtId="39" fontId="0" fillId="2" borderId="9" xfId="0" applyNumberFormat="1" applyFont="1" applyFill="1" applyBorder="1" applyAlignment="1" applyProtection="1" quotePrefix="1">
      <alignment/>
      <protection hidden="1"/>
    </xf>
    <xf numFmtId="0" fontId="4" fillId="2" borderId="8" xfId="0" applyNumberFormat="1" applyFont="1" applyFill="1" applyBorder="1" applyAlignment="1" applyProtection="1">
      <alignment/>
      <protection hidden="1"/>
    </xf>
    <xf numFmtId="39" fontId="27" fillId="2" borderId="9" xfId="0" applyNumberFormat="1" applyFont="1" applyFill="1" applyBorder="1" applyAlignment="1" applyProtection="1">
      <alignment/>
      <protection hidden="1"/>
    </xf>
    <xf numFmtId="0" fontId="3" fillId="2" borderId="0" xfId="0" applyNumberFormat="1" applyFont="1" applyFill="1" applyBorder="1" applyAlignment="1" applyProtection="1">
      <alignment horizontal="left"/>
      <protection hidden="1"/>
    </xf>
    <xf numFmtId="0" fontId="8" fillId="2" borderId="0" xfId="0" applyNumberFormat="1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/>
      <protection hidden="1"/>
    </xf>
    <xf numFmtId="0" fontId="24" fillId="2" borderId="9" xfId="0" applyFont="1" applyFill="1" applyBorder="1" applyAlignment="1" applyProtection="1">
      <alignment/>
      <protection hidden="1"/>
    </xf>
    <xf numFmtId="0" fontId="11" fillId="2" borderId="8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25" fillId="2" borderId="0" xfId="0" applyNumberFormat="1" applyFont="1" applyFill="1" applyBorder="1" applyAlignment="1" applyProtection="1" quotePrefix="1">
      <alignment/>
      <protection hidden="1"/>
    </xf>
    <xf numFmtId="0" fontId="0" fillId="2" borderId="9" xfId="0" applyNumberFormat="1" applyFont="1" applyFill="1" applyBorder="1" applyAlignment="1" applyProtection="1" quotePrefix="1">
      <alignment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4" fillId="2" borderId="8" xfId="0" applyNumberFormat="1" applyFont="1" applyFill="1" applyBorder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right"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3" fillId="2" borderId="9" xfId="0" applyNumberFormat="1" applyFont="1" applyFill="1" applyBorder="1" applyAlignment="1" applyProtection="1">
      <alignment/>
      <protection hidden="1"/>
    </xf>
    <xf numFmtId="0" fontId="3" fillId="2" borderId="8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28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3" fillId="2" borderId="10" xfId="0" applyNumberFormat="1" applyFont="1" applyFill="1" applyBorder="1" applyAlignment="1" applyProtection="1">
      <alignment horizontal="left"/>
      <protection hidden="1"/>
    </xf>
    <xf numFmtId="0" fontId="3" fillId="2" borderId="1" xfId="0" applyNumberFormat="1" applyFont="1" applyFill="1" applyBorder="1" applyAlignment="1" applyProtection="1">
      <alignment/>
      <protection hidden="1"/>
    </xf>
    <xf numFmtId="166" fontId="3" fillId="2" borderId="1" xfId="0" applyNumberFormat="1" applyFont="1" applyFill="1" applyBorder="1" applyAlignment="1" applyProtection="1">
      <alignment/>
      <protection hidden="1"/>
    </xf>
    <xf numFmtId="0" fontId="9" fillId="2" borderId="1" xfId="0" applyNumberFormat="1" applyFont="1" applyFill="1" applyBorder="1" applyAlignment="1" applyProtection="1">
      <alignment/>
      <protection hidden="1"/>
    </xf>
    <xf numFmtId="0" fontId="3" fillId="2" borderId="11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Alignment="1" applyProtection="1">
      <alignment horizontal="left"/>
      <protection hidden="1"/>
    </xf>
    <xf numFmtId="0" fontId="0" fillId="2" borderId="0" xfId="0" applyNumberFormat="1" applyFont="1" applyFill="1" applyBorder="1" applyAlignment="1" applyProtection="1" quotePrefix="1">
      <alignment/>
      <protection hidden="1"/>
    </xf>
    <xf numFmtId="0" fontId="0" fillId="2" borderId="0" xfId="0" applyNumberFormat="1" applyFill="1" applyAlignment="1" applyProtection="1">
      <alignment/>
      <protection hidden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9" fillId="0" borderId="9" xfId="0" applyFont="1" applyFill="1" applyBorder="1" applyAlignment="1" applyProtection="1">
      <alignment horizontal="right" shrinkToFit="1"/>
      <protection locked="0"/>
    </xf>
    <xf numFmtId="0" fontId="18" fillId="0" borderId="9" xfId="0" applyFont="1" applyFill="1" applyBorder="1" applyAlignment="1" applyProtection="1">
      <alignment horizontal="center" vertical="top" textRotation="180" wrapText="1"/>
      <protection locked="0"/>
    </xf>
    <xf numFmtId="0" fontId="19" fillId="0" borderId="9" xfId="0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8" fillId="0" borderId="9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3" fontId="3" fillId="0" borderId="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167" fontId="3" fillId="6" borderId="2" xfId="0" applyNumberFormat="1" applyFont="1" applyFill="1" applyBorder="1" applyAlignment="1" applyProtection="1">
      <alignment horizontal="right"/>
      <protection locked="0"/>
    </xf>
    <xf numFmtId="2" fontId="3" fillId="6" borderId="2" xfId="0" applyNumberFormat="1" applyFont="1" applyFill="1" applyBorder="1" applyAlignment="1" applyProtection="1">
      <alignment horizontal="right"/>
      <protection locked="0"/>
    </xf>
    <xf numFmtId="167" fontId="4" fillId="6" borderId="2" xfId="0" applyNumberFormat="1" applyFont="1" applyFill="1" applyBorder="1" applyAlignment="1" applyProtection="1">
      <alignment horizontal="right"/>
      <protection locked="0"/>
    </xf>
    <xf numFmtId="0" fontId="3" fillId="5" borderId="4" xfId="0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justify"/>
      <protection locked="0"/>
    </xf>
    <xf numFmtId="0" fontId="3" fillId="2" borderId="0" xfId="0" applyFont="1" applyFill="1" applyBorder="1" applyAlignment="1" applyProtection="1">
      <alignment horizontal="justify"/>
      <protection locked="0"/>
    </xf>
    <xf numFmtId="0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2" fillId="2" borderId="0" xfId="0" applyFont="1" applyFill="1" applyBorder="1" applyAlignment="1" applyProtection="1">
      <alignment/>
      <protection locked="0"/>
    </xf>
    <xf numFmtId="0" fontId="32" fillId="2" borderId="0" xfId="0" applyFont="1" applyFill="1" applyAlignment="1" applyProtection="1">
      <alignment/>
      <protection locked="0"/>
    </xf>
    <xf numFmtId="164" fontId="32" fillId="2" borderId="0" xfId="0" applyNumberFormat="1" applyFont="1" applyFill="1" applyAlignment="1" applyProtection="1">
      <alignment/>
      <protection locked="0"/>
    </xf>
    <xf numFmtId="49" fontId="32" fillId="2" borderId="0" xfId="0" applyNumberFormat="1" applyFont="1" applyFill="1" applyAlignment="1" applyProtection="1">
      <alignment/>
      <protection locked="0"/>
    </xf>
    <xf numFmtId="0" fontId="32" fillId="2" borderId="8" xfId="0" applyFont="1" applyFill="1" applyBorder="1" applyAlignment="1" applyProtection="1">
      <alignment/>
      <protection locked="0"/>
    </xf>
    <xf numFmtId="3" fontId="32" fillId="2" borderId="0" xfId="0" applyNumberFormat="1" applyFont="1" applyFill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/>
      <protection locked="0"/>
    </xf>
    <xf numFmtId="0" fontId="22" fillId="2" borderId="0" xfId="0" applyNumberFormat="1" applyFont="1" applyFill="1" applyAlignment="1" applyProtection="1">
      <alignment/>
      <protection locked="0"/>
    </xf>
    <xf numFmtId="0" fontId="1" fillId="2" borderId="0" xfId="0" applyNumberFormat="1" applyFont="1" applyFill="1" applyAlignment="1" applyProtection="1">
      <alignment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173" fontId="3" fillId="5" borderId="4" xfId="0" applyNumberFormat="1" applyFont="1" applyFill="1" applyBorder="1" applyAlignment="1" applyProtection="1">
      <alignment horizontal="right"/>
      <protection locked="0"/>
    </xf>
    <xf numFmtId="2" fontId="3" fillId="5" borderId="4" xfId="0" applyNumberFormat="1" applyFont="1" applyFill="1" applyBorder="1" applyAlignment="1" applyProtection="1">
      <alignment horizontal="right"/>
      <protection locked="0"/>
    </xf>
    <xf numFmtId="2" fontId="4" fillId="5" borderId="4" xfId="0" applyNumberFormat="1" applyFont="1" applyFill="1" applyBorder="1" applyAlignment="1" applyProtection="1">
      <alignment horizontal="right"/>
      <protection locked="0"/>
    </xf>
    <xf numFmtId="2" fontId="4" fillId="5" borderId="4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justify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/>
      <protection locked="0"/>
    </xf>
    <xf numFmtId="49" fontId="3" fillId="2" borderId="0" xfId="0" applyNumberFormat="1" applyFont="1" applyFill="1" applyAlignment="1" applyProtection="1">
      <alignment horizontal="left"/>
      <protection hidden="1"/>
    </xf>
    <xf numFmtId="0" fontId="0" fillId="2" borderId="24" xfId="0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164" fontId="0" fillId="2" borderId="6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/>
      <protection locked="0"/>
    </xf>
    <xf numFmtId="2" fontId="5" fillId="2" borderId="0" xfId="0" applyNumberFormat="1" applyFont="1" applyFill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165" fontId="0" fillId="2" borderId="22" xfId="0" applyNumberFormat="1" applyFill="1" applyBorder="1" applyAlignment="1" applyProtection="1">
      <alignment horizontal="center"/>
      <protection hidden="1"/>
    </xf>
    <xf numFmtId="165" fontId="0" fillId="2" borderId="23" xfId="0" applyNumberForma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5" fontId="0" fillId="2" borderId="0" xfId="0" applyNumberFormat="1" applyFill="1" applyBorder="1" applyAlignment="1" applyProtection="1">
      <alignment horizontal="center"/>
      <protection hidden="1"/>
    </xf>
    <xf numFmtId="165" fontId="0" fillId="2" borderId="12" xfId="0" applyNumberFormat="1" applyFill="1" applyBorder="1" applyAlignment="1" applyProtection="1">
      <alignment horizontal="center" vertical="center" wrapText="1"/>
      <protection hidden="1"/>
    </xf>
    <xf numFmtId="165" fontId="0" fillId="2" borderId="18" xfId="0" applyNumberFormat="1" applyFill="1" applyBorder="1" applyAlignment="1" applyProtection="1">
      <alignment horizontal="center" vertical="center"/>
      <protection hidden="1"/>
    </xf>
    <xf numFmtId="165" fontId="0" fillId="2" borderId="21" xfId="0" applyNumberForma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11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2" fontId="8" fillId="2" borderId="3" xfId="0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171" fontId="3" fillId="2" borderId="0" xfId="0" applyNumberFormat="1" applyFont="1" applyFill="1" applyAlignment="1" applyProtection="1">
      <alignment/>
      <protection locked="0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2" fontId="3" fillId="2" borderId="1" xfId="0" applyNumberFormat="1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3" fillId="2" borderId="6" xfId="0" applyFont="1" applyFill="1" applyBorder="1" applyAlignment="1" applyProtection="1">
      <alignment horizontal="right"/>
      <protection/>
    </xf>
    <xf numFmtId="0" fontId="37" fillId="2" borderId="0" xfId="21" applyFont="1" applyFill="1" applyProtection="1">
      <alignment/>
      <protection locked="0"/>
    </xf>
    <xf numFmtId="0" fontId="32" fillId="2" borderId="0" xfId="21" applyFill="1" applyBorder="1" applyProtection="1">
      <alignment/>
      <protection/>
    </xf>
    <xf numFmtId="0" fontId="32" fillId="2" borderId="0" xfId="21" applyFill="1" applyProtection="1">
      <alignment/>
      <protection locked="0"/>
    </xf>
    <xf numFmtId="0" fontId="19" fillId="2" borderId="0" xfId="21" applyFont="1" applyFill="1" applyBorder="1" applyProtection="1">
      <alignment/>
      <protection/>
    </xf>
    <xf numFmtId="0" fontId="38" fillId="2" borderId="0" xfId="21" applyFont="1" applyFill="1" applyBorder="1" applyProtection="1">
      <alignment/>
      <protection/>
    </xf>
    <xf numFmtId="0" fontId="38" fillId="2" borderId="0" xfId="21" applyFont="1" applyFill="1" applyBorder="1" applyAlignment="1" applyProtection="1">
      <alignment horizontal="right"/>
      <protection/>
    </xf>
    <xf numFmtId="0" fontId="38" fillId="2" borderId="0" xfId="21" applyFont="1" applyFill="1" applyBorder="1" applyAlignment="1" applyProtection="1">
      <alignment horizontal="center"/>
      <protection/>
    </xf>
    <xf numFmtId="2" fontId="38" fillId="6" borderId="4" xfId="21" applyNumberFormat="1" applyFont="1" applyFill="1" applyBorder="1" applyProtection="1">
      <alignment/>
      <protection locked="0"/>
    </xf>
    <xf numFmtId="2" fontId="38" fillId="3" borderId="4" xfId="21" applyNumberFormat="1" applyFont="1" applyFill="1" applyBorder="1" applyProtection="1">
      <alignment/>
      <protection locked="0"/>
    </xf>
    <xf numFmtId="2" fontId="38" fillId="3" borderId="4" xfId="21" applyNumberFormat="1" applyFont="1" applyFill="1" applyBorder="1" applyProtection="1">
      <alignment/>
      <protection/>
    </xf>
    <xf numFmtId="2" fontId="38" fillId="6" borderId="2" xfId="21" applyNumberFormat="1" applyFont="1" applyFill="1" applyBorder="1" applyProtection="1">
      <alignment/>
      <protection locked="0"/>
    </xf>
    <xf numFmtId="2" fontId="38" fillId="3" borderId="2" xfId="21" applyNumberFormat="1" applyFont="1" applyFill="1" applyBorder="1" applyProtection="1">
      <alignment/>
      <protection/>
    </xf>
    <xf numFmtId="165" fontId="38" fillId="6" borderId="2" xfId="21" applyNumberFormat="1" applyFont="1" applyFill="1" applyBorder="1" applyProtection="1">
      <alignment/>
      <protection locked="0"/>
    </xf>
    <xf numFmtId="164" fontId="38" fillId="3" borderId="2" xfId="21" applyNumberFormat="1" applyFont="1" applyFill="1" applyBorder="1" applyProtection="1">
      <alignment/>
      <protection/>
    </xf>
    <xf numFmtId="164" fontId="38" fillId="6" borderId="2" xfId="21" applyNumberFormat="1" applyFont="1" applyFill="1" applyBorder="1" applyProtection="1">
      <alignment/>
      <protection locked="0"/>
    </xf>
    <xf numFmtId="4" fontId="38" fillId="6" borderId="2" xfId="21" applyNumberFormat="1" applyFont="1" applyFill="1" applyBorder="1" applyProtection="1">
      <alignment/>
      <protection locked="0"/>
    </xf>
    <xf numFmtId="185" fontId="32" fillId="2" borderId="0" xfId="21" applyNumberFormat="1" applyFill="1" applyBorder="1" applyProtection="1">
      <alignment/>
      <protection/>
    </xf>
    <xf numFmtId="0" fontId="32" fillId="2" borderId="0" xfId="21" applyFill="1" applyBorder="1" applyAlignment="1" applyProtection="1">
      <alignment horizontal="right"/>
      <protection/>
    </xf>
    <xf numFmtId="2" fontId="38" fillId="2" borderId="24" xfId="21" applyNumberFormat="1" applyFont="1" applyFill="1" applyBorder="1" applyProtection="1">
      <alignment/>
      <protection/>
    </xf>
    <xf numFmtId="0" fontId="22" fillId="2" borderId="0" xfId="21" applyFont="1" applyFill="1" applyBorder="1" applyProtection="1">
      <alignment/>
      <protection/>
    </xf>
    <xf numFmtId="0" fontId="39" fillId="2" borderId="0" xfId="21" applyFont="1" applyFill="1" applyBorder="1" applyProtection="1">
      <alignment/>
      <protection/>
    </xf>
    <xf numFmtId="2" fontId="38" fillId="3" borderId="0" xfId="21" applyNumberFormat="1" applyFont="1" applyFill="1" applyBorder="1" applyProtection="1">
      <alignment/>
      <protection/>
    </xf>
    <xf numFmtId="185" fontId="22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Protection="1">
      <alignment/>
      <protection/>
    </xf>
    <xf numFmtId="0" fontId="37" fillId="2" borderId="0" xfId="21" applyFont="1" applyFill="1" applyBorder="1" applyProtection="1">
      <alignment/>
      <protection/>
    </xf>
    <xf numFmtId="0" fontId="32" fillId="2" borderId="0" xfId="21" applyFont="1" applyFill="1" applyBorder="1" applyProtection="1">
      <alignment/>
      <protection/>
    </xf>
    <xf numFmtId="0" fontId="2" fillId="2" borderId="0" xfId="21" applyFont="1" applyFill="1" applyBorder="1" applyProtection="1">
      <alignment/>
      <protection/>
    </xf>
    <xf numFmtId="0" fontId="38" fillId="2" borderId="0" xfId="21" applyFont="1" applyFill="1" applyBorder="1" applyAlignment="1" applyProtection="1">
      <alignment horizontal="left"/>
      <protection/>
    </xf>
    <xf numFmtId="0" fontId="38" fillId="2" borderId="25" xfId="21" applyFont="1" applyFill="1" applyBorder="1" applyAlignment="1" applyProtection="1">
      <alignment horizontal="center"/>
      <protection/>
    </xf>
    <xf numFmtId="0" fontId="38" fillId="2" borderId="26" xfId="21" applyFont="1" applyFill="1" applyBorder="1" applyAlignment="1" applyProtection="1">
      <alignment horizontal="center"/>
      <protection/>
    </xf>
    <xf numFmtId="0" fontId="38" fillId="2" borderId="27" xfId="21" applyFont="1" applyFill="1" applyBorder="1" applyAlignment="1" applyProtection="1">
      <alignment horizontal="center"/>
      <protection/>
    </xf>
    <xf numFmtId="0" fontId="38" fillId="2" borderId="28" xfId="21" applyFont="1" applyFill="1" applyBorder="1" applyAlignment="1" applyProtection="1">
      <alignment horizontal="center"/>
      <protection/>
    </xf>
    <xf numFmtId="16" fontId="38" fillId="2" borderId="28" xfId="21" applyNumberFormat="1" applyFont="1" applyFill="1" applyBorder="1" applyAlignment="1" applyProtection="1" quotePrefix="1">
      <alignment horizontal="center"/>
      <protection/>
    </xf>
    <xf numFmtId="0" fontId="38" fillId="2" borderId="29" xfId="21" applyFont="1" applyFill="1" applyBorder="1" applyAlignment="1" applyProtection="1">
      <alignment horizontal="center"/>
      <protection/>
    </xf>
    <xf numFmtId="0" fontId="38" fillId="2" borderId="30" xfId="21" applyFont="1" applyFill="1" applyBorder="1" applyAlignment="1" applyProtection="1">
      <alignment horizontal="center"/>
      <protection/>
    </xf>
    <xf numFmtId="185" fontId="38" fillId="3" borderId="31" xfId="21" applyNumberFormat="1" applyFont="1" applyFill="1" applyBorder="1" applyProtection="1">
      <alignment/>
      <protection/>
    </xf>
    <xf numFmtId="2" fontId="38" fillId="3" borderId="31" xfId="21" applyNumberFormat="1" applyFont="1" applyFill="1" applyBorder="1" applyProtection="1">
      <alignment/>
      <protection/>
    </xf>
    <xf numFmtId="169" fontId="38" fillId="3" borderId="31" xfId="21" applyNumberFormat="1" applyFont="1" applyFill="1" applyBorder="1" applyProtection="1">
      <alignment/>
      <protection/>
    </xf>
    <xf numFmtId="169" fontId="38" fillId="2" borderId="31" xfId="21" applyNumberFormat="1" applyFont="1" applyFill="1" applyBorder="1" applyProtection="1">
      <alignment/>
      <protection/>
    </xf>
    <xf numFmtId="166" fontId="38" fillId="2" borderId="31" xfId="21" applyNumberFormat="1" applyFont="1" applyFill="1" applyBorder="1" applyProtection="1">
      <alignment/>
      <protection/>
    </xf>
    <xf numFmtId="166" fontId="38" fillId="6" borderId="31" xfId="21" applyNumberFormat="1" applyFont="1" applyFill="1" applyBorder="1" applyProtection="1">
      <alignment/>
      <protection locked="0"/>
    </xf>
    <xf numFmtId="166" fontId="38" fillId="3" borderId="31" xfId="21" applyNumberFormat="1" applyFont="1" applyFill="1" applyBorder="1" applyProtection="1">
      <alignment/>
      <protection/>
    </xf>
    <xf numFmtId="4" fontId="38" fillId="3" borderId="31" xfId="21" applyNumberFormat="1" applyFont="1" applyFill="1" applyBorder="1" applyProtection="1">
      <alignment/>
      <protection/>
    </xf>
    <xf numFmtId="0" fontId="38" fillId="2" borderId="0" xfId="21" applyFont="1" applyFill="1" applyProtection="1">
      <alignment/>
      <protection locked="0"/>
    </xf>
    <xf numFmtId="185" fontId="38" fillId="2" borderId="0" xfId="21" applyNumberFormat="1" applyFont="1" applyFill="1" applyBorder="1" applyProtection="1">
      <alignment/>
      <protection/>
    </xf>
    <xf numFmtId="2" fontId="38" fillId="3" borderId="32" xfId="21" applyNumberFormat="1" applyFont="1" applyFill="1" applyBorder="1" applyProtection="1">
      <alignment/>
      <protection locked="0"/>
    </xf>
    <xf numFmtId="2" fontId="38" fillId="3" borderId="32" xfId="21" applyNumberFormat="1" applyFont="1" applyFill="1" applyBorder="1" applyProtection="1">
      <alignment/>
      <protection/>
    </xf>
    <xf numFmtId="2" fontId="38" fillId="3" borderId="33" xfId="21" applyNumberFormat="1" applyFont="1" applyFill="1" applyBorder="1" applyProtection="1">
      <alignment/>
      <protection/>
    </xf>
    <xf numFmtId="4" fontId="38" fillId="3" borderId="33" xfId="21" applyNumberFormat="1" applyFont="1" applyFill="1" applyBorder="1" applyProtection="1">
      <alignment/>
      <protection/>
    </xf>
    <xf numFmtId="2" fontId="38" fillId="6" borderId="32" xfId="21" applyNumberFormat="1" applyFont="1" applyFill="1" applyBorder="1" applyProtection="1">
      <alignment/>
      <protection locked="0"/>
    </xf>
    <xf numFmtId="2" fontId="38" fillId="6" borderId="33" xfId="21" applyNumberFormat="1" applyFont="1" applyFill="1" applyBorder="1" applyProtection="1">
      <alignment/>
      <protection locked="0"/>
    </xf>
    <xf numFmtId="0" fontId="32" fillId="2" borderId="0" xfId="21" applyFill="1" applyBorder="1" applyProtection="1">
      <alignment/>
      <protection locked="0"/>
    </xf>
    <xf numFmtId="184" fontId="32" fillId="2" borderId="0" xfId="21" applyNumberFormat="1" applyFill="1" applyBorder="1" applyProtection="1">
      <alignment/>
      <protection/>
    </xf>
    <xf numFmtId="1" fontId="38" fillId="2" borderId="25" xfId="21" applyNumberFormat="1" applyFont="1" applyFill="1" applyBorder="1" applyAlignment="1" applyProtection="1">
      <alignment horizontal="center"/>
      <protection/>
    </xf>
    <xf numFmtId="0" fontId="39" fillId="2" borderId="27" xfId="21" applyFont="1" applyFill="1" applyBorder="1" applyAlignment="1" applyProtection="1">
      <alignment horizontal="center"/>
      <protection/>
    </xf>
    <xf numFmtId="187" fontId="38" fillId="2" borderId="27" xfId="21" applyNumberFormat="1" applyFont="1" applyFill="1" applyBorder="1" applyAlignment="1" applyProtection="1">
      <alignment horizontal="center"/>
      <protection/>
    </xf>
    <xf numFmtId="0" fontId="41" fillId="2" borderId="27" xfId="21" applyFont="1" applyFill="1" applyBorder="1" applyAlignment="1" applyProtection="1">
      <alignment horizontal="center"/>
      <protection/>
    </xf>
    <xf numFmtId="187" fontId="38" fillId="2" borderId="29" xfId="21" applyNumberFormat="1" applyFont="1" applyFill="1" applyBorder="1" applyAlignment="1" applyProtection="1">
      <alignment horizontal="center"/>
      <protection/>
    </xf>
    <xf numFmtId="2" fontId="38" fillId="6" borderId="31" xfId="21" applyNumberFormat="1" applyFont="1" applyFill="1" applyBorder="1" applyProtection="1">
      <alignment/>
      <protection locked="0"/>
    </xf>
    <xf numFmtId="187" fontId="38" fillId="2" borderId="31" xfId="21" applyNumberFormat="1" applyFont="1" applyFill="1" applyBorder="1" applyProtection="1">
      <alignment/>
      <protection/>
    </xf>
    <xf numFmtId="165" fontId="38" fillId="2" borderId="31" xfId="21" applyNumberFormat="1" applyFont="1" applyFill="1" applyBorder="1" applyProtection="1">
      <alignment/>
      <protection/>
    </xf>
    <xf numFmtId="2" fontId="38" fillId="2" borderId="31" xfId="21" applyNumberFormat="1" applyFont="1" applyFill="1" applyBorder="1" applyProtection="1">
      <alignment/>
      <protection/>
    </xf>
    <xf numFmtId="187" fontId="38" fillId="3" borderId="31" xfId="21" applyNumberFormat="1" applyFont="1" applyFill="1" applyBorder="1" applyProtection="1">
      <alignment/>
      <protection/>
    </xf>
    <xf numFmtId="165" fontId="38" fillId="3" borderId="31" xfId="21" applyNumberFormat="1" applyFont="1" applyFill="1" applyBorder="1" applyProtection="1">
      <alignment/>
      <protection/>
    </xf>
    <xf numFmtId="187" fontId="32" fillId="2" borderId="0" xfId="21" applyNumberFormat="1" applyFill="1" applyProtection="1">
      <alignment/>
      <protection locked="0"/>
    </xf>
    <xf numFmtId="184" fontId="32" fillId="2" borderId="0" xfId="21" applyNumberFormat="1" applyFill="1" applyProtection="1">
      <alignment/>
      <protection locked="0"/>
    </xf>
    <xf numFmtId="185" fontId="32" fillId="2" borderId="0" xfId="21" applyNumberFormat="1" applyFill="1" applyProtection="1">
      <alignment/>
      <protection locked="0"/>
    </xf>
    <xf numFmtId="186" fontId="32" fillId="2" borderId="0" xfId="21" applyNumberFormat="1" applyFill="1" applyProtection="1">
      <alignment/>
      <protection locked="0"/>
    </xf>
    <xf numFmtId="2" fontId="3" fillId="3" borderId="4" xfId="0" applyNumberFormat="1" applyFont="1" applyFill="1" applyBorder="1" applyAlignment="1" applyProtection="1">
      <alignment/>
      <protection locked="0"/>
    </xf>
    <xf numFmtId="2" fontId="3" fillId="3" borderId="2" xfId="0" applyNumberFormat="1" applyFont="1" applyFill="1" applyBorder="1" applyAlignment="1" applyProtection="1">
      <alignment/>
      <protection locked="0"/>
    </xf>
    <xf numFmtId="2" fontId="4" fillId="3" borderId="2" xfId="0" applyNumberFormat="1" applyFont="1" applyFill="1" applyBorder="1" applyAlignment="1" applyProtection="1">
      <alignment/>
      <protection locked="0"/>
    </xf>
    <xf numFmtId="4" fontId="4" fillId="3" borderId="2" xfId="0" applyNumberFormat="1" applyFont="1" applyFill="1" applyBorder="1" applyAlignment="1" applyProtection="1">
      <alignment/>
      <protection locked="0"/>
    </xf>
    <xf numFmtId="4" fontId="3" fillId="5" borderId="4" xfId="0" applyNumberFormat="1" applyFont="1" applyFill="1" applyBorder="1" applyAlignment="1" applyProtection="1">
      <alignment/>
      <protection locked="0"/>
    </xf>
    <xf numFmtId="4" fontId="3" fillId="5" borderId="2" xfId="0" applyNumberFormat="1" applyFont="1" applyFill="1" applyBorder="1" applyAlignment="1" applyProtection="1">
      <alignment/>
      <protection locked="0"/>
    </xf>
    <xf numFmtId="4" fontId="4" fillId="5" borderId="2" xfId="0" applyNumberFormat="1" applyFont="1" applyFill="1" applyBorder="1" applyAlignment="1" applyProtection="1">
      <alignment/>
      <protection locked="0"/>
    </xf>
    <xf numFmtId="4" fontId="8" fillId="3" borderId="4" xfId="0" applyNumberFormat="1" applyFont="1" applyFill="1" applyBorder="1" applyAlignment="1" applyProtection="1">
      <alignment/>
      <protection/>
    </xf>
    <xf numFmtId="4" fontId="4" fillId="3" borderId="2" xfId="0" applyNumberFormat="1" applyFont="1" applyFill="1" applyBorder="1" applyAlignment="1" applyProtection="1">
      <alignment/>
      <protection/>
    </xf>
    <xf numFmtId="4" fontId="3" fillId="3" borderId="4" xfId="0" applyNumberFormat="1" applyFont="1" applyFill="1" applyBorder="1" applyAlignment="1" applyProtection="1">
      <alignment/>
      <protection/>
    </xf>
    <xf numFmtId="4" fontId="3" fillId="3" borderId="2" xfId="0" applyNumberFormat="1" applyFont="1" applyFill="1" applyBorder="1" applyAlignment="1" applyProtection="1">
      <alignment/>
      <protection/>
    </xf>
    <xf numFmtId="165" fontId="38" fillId="3" borderId="32" xfId="21" applyNumberFormat="1" applyFont="1" applyFill="1" applyBorder="1" applyProtection="1">
      <alignment/>
      <protection/>
    </xf>
    <xf numFmtId="164" fontId="38" fillId="3" borderId="32" xfId="21" applyNumberFormat="1" applyFont="1" applyFill="1" applyBorder="1" applyProtection="1">
      <alignment/>
      <protection/>
    </xf>
    <xf numFmtId="2" fontId="4" fillId="3" borderId="4" xfId="0" applyNumberFormat="1" applyFont="1" applyFill="1" applyBorder="1" applyAlignment="1" applyProtection="1">
      <alignment/>
      <protection locked="0"/>
    </xf>
    <xf numFmtId="164" fontId="3" fillId="3" borderId="4" xfId="0" applyNumberFormat="1" applyFont="1" applyFill="1" applyBorder="1" applyAlignment="1" applyProtection="1">
      <alignment/>
      <protection locked="0"/>
    </xf>
    <xf numFmtId="49" fontId="3" fillId="5" borderId="4" xfId="0" applyNumberFormat="1" applyFont="1" applyFill="1" applyBorder="1" applyAlignment="1" applyProtection="1">
      <alignment horizontal="center"/>
      <protection locked="0"/>
    </xf>
    <xf numFmtId="2" fontId="4" fillId="5" borderId="2" xfId="0" applyNumberFormat="1" applyFont="1" applyFill="1" applyBorder="1" applyAlignment="1" applyProtection="1">
      <alignment/>
      <protection locked="0"/>
    </xf>
    <xf numFmtId="4" fontId="3" fillId="3" borderId="4" xfId="0" applyNumberFormat="1" applyFont="1" applyFill="1" applyBorder="1" applyAlignment="1" applyProtection="1">
      <alignment/>
      <protection locked="0"/>
    </xf>
    <xf numFmtId="4" fontId="4" fillId="3" borderId="4" xfId="0" applyNumberFormat="1" applyFont="1" applyFill="1" applyBorder="1" applyAlignment="1" applyProtection="1">
      <alignment/>
      <protection locked="0"/>
    </xf>
    <xf numFmtId="4" fontId="3" fillId="2" borderId="0" xfId="0" applyNumberFormat="1" applyFont="1" applyFill="1" applyBorder="1" applyAlignment="1" applyProtection="1">
      <alignment/>
      <protection hidden="1"/>
    </xf>
    <xf numFmtId="0" fontId="32" fillId="2" borderId="34" xfId="21" applyFill="1" applyBorder="1" applyProtection="1">
      <alignment/>
      <protection/>
    </xf>
    <xf numFmtId="0" fontId="32" fillId="2" borderId="35" xfId="21" applyFill="1" applyBorder="1" applyProtection="1">
      <alignment/>
      <protection/>
    </xf>
    <xf numFmtId="0" fontId="38" fillId="2" borderId="34" xfId="21" applyFont="1" applyFill="1" applyBorder="1" applyProtection="1">
      <alignment/>
      <protection/>
    </xf>
    <xf numFmtId="0" fontId="19" fillId="2" borderId="34" xfId="21" applyFont="1" applyFill="1" applyBorder="1" applyProtection="1">
      <alignment/>
      <protection/>
    </xf>
    <xf numFmtId="0" fontId="38" fillId="2" borderId="36" xfId="21" applyFont="1" applyFill="1" applyBorder="1" applyAlignment="1" applyProtection="1">
      <alignment horizontal="center"/>
      <protection/>
    </xf>
    <xf numFmtId="0" fontId="38" fillId="2" borderId="37" xfId="21" applyFont="1" applyFill="1" applyBorder="1" applyAlignment="1" applyProtection="1">
      <alignment horizontal="center"/>
      <protection/>
    </xf>
    <xf numFmtId="0" fontId="38" fillId="2" borderId="38" xfId="21" applyFont="1" applyFill="1" applyBorder="1" applyAlignment="1" applyProtection="1">
      <alignment horizontal="center"/>
      <protection/>
    </xf>
    <xf numFmtId="0" fontId="38" fillId="2" borderId="35" xfId="21" applyFont="1" applyFill="1" applyBorder="1" applyAlignment="1" applyProtection="1">
      <alignment horizontal="center"/>
      <protection/>
    </xf>
    <xf numFmtId="0" fontId="38" fillId="2" borderId="39" xfId="21" applyFont="1" applyFill="1" applyBorder="1" applyAlignment="1" applyProtection="1">
      <alignment horizontal="center"/>
      <protection/>
    </xf>
    <xf numFmtId="0" fontId="38" fillId="2" borderId="40" xfId="21" applyFont="1" applyFill="1" applyBorder="1" applyAlignment="1" applyProtection="1">
      <alignment horizontal="center"/>
      <protection/>
    </xf>
    <xf numFmtId="185" fontId="38" fillId="3" borderId="41" xfId="21" applyNumberFormat="1" applyFont="1" applyFill="1" applyBorder="1" applyProtection="1">
      <alignment/>
      <protection/>
    </xf>
    <xf numFmtId="2" fontId="38" fillId="3" borderId="42" xfId="21" applyNumberFormat="1" applyFont="1" applyFill="1" applyBorder="1" applyProtection="1">
      <alignment/>
      <protection/>
    </xf>
    <xf numFmtId="185" fontId="38" fillId="6" borderId="41" xfId="21" applyNumberFormat="1" applyFont="1" applyFill="1" applyBorder="1" applyProtection="1">
      <alignment/>
      <protection locked="0"/>
    </xf>
    <xf numFmtId="185" fontId="38" fillId="6" borderId="43" xfId="21" applyNumberFormat="1" applyFont="1" applyFill="1" applyBorder="1" applyProtection="1">
      <alignment/>
      <protection locked="0"/>
    </xf>
    <xf numFmtId="185" fontId="38" fillId="3" borderId="44" xfId="21" applyNumberFormat="1" applyFont="1" applyFill="1" applyBorder="1" applyProtection="1">
      <alignment/>
      <protection/>
    </xf>
    <xf numFmtId="2" fontId="38" fillId="3" borderId="44" xfId="21" applyNumberFormat="1" applyFont="1" applyFill="1" applyBorder="1" applyProtection="1">
      <alignment/>
      <protection/>
    </xf>
    <xf numFmtId="169" fontId="38" fillId="3" borderId="44" xfId="21" applyNumberFormat="1" applyFont="1" applyFill="1" applyBorder="1" applyProtection="1">
      <alignment/>
      <protection/>
    </xf>
    <xf numFmtId="166" fontId="38" fillId="3" borderId="44" xfId="21" applyNumberFormat="1" applyFont="1" applyFill="1" applyBorder="1" applyProtection="1">
      <alignment/>
      <protection/>
    </xf>
    <xf numFmtId="2" fontId="38" fillId="3" borderId="45" xfId="21" applyNumberFormat="1" applyFont="1" applyFill="1" applyBorder="1" applyProtection="1">
      <alignment/>
      <protection/>
    </xf>
    <xf numFmtId="4" fontId="38" fillId="3" borderId="42" xfId="21" applyNumberFormat="1" applyFont="1" applyFill="1" applyBorder="1" applyProtection="1">
      <alignment/>
      <protection/>
    </xf>
    <xf numFmtId="4" fontId="38" fillId="3" borderId="44" xfId="21" applyNumberFormat="1" applyFont="1" applyFill="1" applyBorder="1" applyProtection="1">
      <alignment/>
      <protection/>
    </xf>
    <xf numFmtId="4" fontId="38" fillId="3" borderId="45" xfId="21" applyNumberFormat="1" applyFont="1" applyFill="1" applyBorder="1" applyProtection="1">
      <alignment/>
      <protection/>
    </xf>
    <xf numFmtId="0" fontId="32" fillId="2" borderId="0" xfId="21" applyFont="1" applyFill="1" applyProtection="1">
      <alignment/>
      <protection locked="0"/>
    </xf>
    <xf numFmtId="0" fontId="32" fillId="7" borderId="0" xfId="21" applyFont="1" applyFill="1" applyBorder="1" applyAlignment="1" applyProtection="1">
      <alignment horizontal="center" vertical="center"/>
      <protection locked="0"/>
    </xf>
    <xf numFmtId="0" fontId="42" fillId="2" borderId="0" xfId="21" applyFont="1" applyFill="1" applyProtection="1">
      <alignment/>
      <protection locked="0"/>
    </xf>
    <xf numFmtId="0" fontId="38" fillId="2" borderId="0" xfId="21" applyFont="1" applyFill="1" applyAlignment="1" applyProtection="1">
      <alignment horizontal="right"/>
      <protection locked="0"/>
    </xf>
    <xf numFmtId="0" fontId="38" fillId="2" borderId="0" xfId="21" applyFont="1" applyFill="1" applyAlignment="1" applyProtection="1">
      <alignment horizontal="center"/>
      <protection locked="0"/>
    </xf>
    <xf numFmtId="0" fontId="38" fillId="2" borderId="24" xfId="21" applyFont="1" applyFill="1" applyBorder="1" applyProtection="1">
      <alignment/>
      <protection locked="0"/>
    </xf>
    <xf numFmtId="0" fontId="19" fillId="2" borderId="16" xfId="21" applyFont="1" applyFill="1" applyBorder="1" applyAlignment="1" applyProtection="1">
      <alignment horizontal="center"/>
      <protection locked="0"/>
    </xf>
    <xf numFmtId="0" fontId="32" fillId="2" borderId="0" xfId="21" applyFill="1" applyAlignment="1" applyProtection="1">
      <alignment horizontal="center"/>
      <protection locked="0"/>
    </xf>
    <xf numFmtId="0" fontId="19" fillId="2" borderId="46" xfId="21" applyFont="1" applyFill="1" applyBorder="1" applyAlignment="1" applyProtection="1">
      <alignment horizontal="center"/>
      <protection locked="0"/>
    </xf>
    <xf numFmtId="0" fontId="19" fillId="2" borderId="47" xfId="21" applyFont="1" applyFill="1" applyBorder="1" applyAlignment="1" applyProtection="1">
      <alignment horizontal="center"/>
      <protection locked="0"/>
    </xf>
    <xf numFmtId="4" fontId="38" fillId="6" borderId="19" xfId="21" applyNumberFormat="1" applyFont="1" applyFill="1" applyBorder="1" applyProtection="1">
      <alignment/>
      <protection locked="0"/>
    </xf>
    <xf numFmtId="4" fontId="38" fillId="3" borderId="19" xfId="21" applyNumberFormat="1" applyFont="1" applyFill="1" applyBorder="1" applyProtection="1">
      <alignment/>
      <protection/>
    </xf>
    <xf numFmtId="167" fontId="38" fillId="3" borderId="19" xfId="21" applyNumberFormat="1" applyFont="1" applyFill="1" applyBorder="1" applyProtection="1">
      <alignment/>
      <protection/>
    </xf>
    <xf numFmtId="0" fontId="6" fillId="2" borderId="0" xfId="21" applyFont="1" applyFill="1" applyProtection="1">
      <alignment/>
      <protection locked="0"/>
    </xf>
    <xf numFmtId="0" fontId="38" fillId="2" borderId="0" xfId="21" applyFont="1" applyFill="1" applyBorder="1" applyProtection="1">
      <alignment/>
      <protection locked="0"/>
    </xf>
    <xf numFmtId="0" fontId="38" fillId="6" borderId="4" xfId="21" applyFont="1" applyFill="1" applyBorder="1" applyProtection="1">
      <alignment/>
      <protection locked="0"/>
    </xf>
    <xf numFmtId="2" fontId="38" fillId="6" borderId="19" xfId="21" applyNumberFormat="1" applyFont="1" applyFill="1" applyBorder="1" applyProtection="1">
      <alignment/>
      <protection locked="0"/>
    </xf>
    <xf numFmtId="2" fontId="38" fillId="3" borderId="19" xfId="21" applyNumberFormat="1" applyFont="1" applyFill="1" applyBorder="1" applyProtection="1">
      <alignment/>
      <protection/>
    </xf>
    <xf numFmtId="2" fontId="32" fillId="2" borderId="0" xfId="21" applyNumberFormat="1" applyFill="1" applyProtection="1">
      <alignment/>
      <protection locked="0"/>
    </xf>
    <xf numFmtId="0" fontId="27" fillId="2" borderId="0" xfId="0" applyNumberFormat="1" applyFont="1" applyFill="1" applyBorder="1" applyAlignment="1" applyProtection="1">
      <alignment/>
      <protection locked="0"/>
    </xf>
    <xf numFmtId="0" fontId="29" fillId="2" borderId="8" xfId="0" applyNumberFormat="1" applyFont="1" applyFill="1" applyBorder="1" applyAlignment="1" applyProtection="1">
      <alignment/>
      <protection locked="0"/>
    </xf>
    <xf numFmtId="164" fontId="25" fillId="3" borderId="4" xfId="0" applyNumberFormat="1" applyFont="1" applyFill="1" applyBorder="1" applyAlignment="1" applyProtection="1">
      <alignment horizontal="right"/>
      <protection locked="0"/>
    </xf>
    <xf numFmtId="0" fontId="5" fillId="2" borderId="8" xfId="0" applyNumberFormat="1" applyFont="1" applyFill="1" applyBorder="1" applyAlignment="1" applyProtection="1">
      <alignment/>
      <protection locked="0"/>
    </xf>
    <xf numFmtId="4" fontId="1" fillId="4" borderId="4" xfId="0" applyNumberFormat="1" applyFont="1" applyFill="1" applyBorder="1" applyAlignment="1" applyProtection="1">
      <alignment horizontal="right"/>
      <protection locked="0"/>
    </xf>
    <xf numFmtId="4" fontId="0" fillId="3" borderId="2" xfId="0" applyNumberFormat="1" applyFont="1" applyFill="1" applyBorder="1" applyAlignment="1" applyProtection="1">
      <alignment horizontal="right"/>
      <protection locked="0"/>
    </xf>
    <xf numFmtId="4" fontId="24" fillId="3" borderId="2" xfId="0" applyNumberFormat="1" applyFont="1" applyFill="1" applyBorder="1" applyAlignment="1" applyProtection="1">
      <alignment horizontal="righ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0" fillId="3" borderId="4" xfId="0" applyNumberFormat="1" applyFont="1" applyFill="1" applyBorder="1" applyAlignment="1" applyProtection="1">
      <alignment horizontal="righ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2" fontId="8" fillId="2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 quotePrefix="1">
      <alignment horizontal="right"/>
      <protection locked="0"/>
    </xf>
    <xf numFmtId="2" fontId="3" fillId="2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4" fontId="4" fillId="5" borderId="4" xfId="0" applyNumberFormat="1" applyFont="1" applyFill="1" applyBorder="1" applyAlignment="1" applyProtection="1">
      <alignment horizontal="right"/>
      <protection locked="0"/>
    </xf>
    <xf numFmtId="4" fontId="8" fillId="3" borderId="4" xfId="0" applyNumberFormat="1" applyFont="1" applyFill="1" applyBorder="1" applyAlignment="1" applyProtection="1">
      <alignment/>
      <protection locked="0"/>
    </xf>
    <xf numFmtId="0" fontId="38" fillId="2" borderId="35" xfId="21" applyFont="1" applyFill="1" applyBorder="1" applyProtection="1">
      <alignment/>
      <protection/>
    </xf>
    <xf numFmtId="0" fontId="38" fillId="2" borderId="48" xfId="21" applyFont="1" applyFill="1" applyBorder="1" applyAlignment="1" applyProtection="1">
      <alignment horizontal="center"/>
      <protection/>
    </xf>
    <xf numFmtId="0" fontId="39" fillId="2" borderId="49" xfId="21" applyFont="1" applyFill="1" applyBorder="1" applyAlignment="1" applyProtection="1">
      <alignment horizontal="center"/>
      <protection/>
    </xf>
    <xf numFmtId="0" fontId="41" fillId="2" borderId="49" xfId="21" applyFont="1" applyFill="1" applyBorder="1" applyAlignment="1" applyProtection="1">
      <alignment horizontal="center"/>
      <protection/>
    </xf>
    <xf numFmtId="0" fontId="41" fillId="2" borderId="50" xfId="21" applyFont="1" applyFill="1" applyBorder="1" applyAlignment="1" applyProtection="1">
      <alignment horizontal="center"/>
      <protection/>
    </xf>
    <xf numFmtId="2" fontId="38" fillId="6" borderId="41" xfId="21" applyNumberFormat="1" applyFont="1" applyFill="1" applyBorder="1" applyProtection="1">
      <alignment/>
      <protection locked="0"/>
    </xf>
    <xf numFmtId="0" fontId="41" fillId="2" borderId="42" xfId="21" applyFont="1" applyFill="1" applyBorder="1" applyProtection="1">
      <alignment/>
      <protection/>
    </xf>
    <xf numFmtId="185" fontId="41" fillId="3" borderId="42" xfId="21" applyNumberFormat="1" applyFont="1" applyFill="1" applyBorder="1" applyProtection="1">
      <alignment/>
      <protection/>
    </xf>
    <xf numFmtId="2" fontId="38" fillId="6" borderId="43" xfId="21" applyNumberFormat="1" applyFont="1" applyFill="1" applyBorder="1" applyProtection="1">
      <alignment/>
      <protection locked="0"/>
    </xf>
    <xf numFmtId="2" fontId="38" fillId="6" borderId="44" xfId="21" applyNumberFormat="1" applyFont="1" applyFill="1" applyBorder="1" applyProtection="1">
      <alignment/>
      <protection locked="0"/>
    </xf>
    <xf numFmtId="187" fontId="38" fillId="3" borderId="44" xfId="21" applyNumberFormat="1" applyFont="1" applyFill="1" applyBorder="1" applyProtection="1">
      <alignment/>
      <protection/>
    </xf>
    <xf numFmtId="165" fontId="38" fillId="3" borderId="44" xfId="21" applyNumberFormat="1" applyFont="1" applyFill="1" applyBorder="1" applyProtection="1">
      <alignment/>
      <protection/>
    </xf>
    <xf numFmtId="185" fontId="41" fillId="3" borderId="45" xfId="21" applyNumberFormat="1" applyFont="1" applyFill="1" applyBorder="1" applyProtection="1">
      <alignment/>
      <protection/>
    </xf>
    <xf numFmtId="4" fontId="8" fillId="3" borderId="24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Alignment="1" applyProtection="1">
      <alignment horizontal="left"/>
      <protection locked="0"/>
    </xf>
    <xf numFmtId="2" fontId="38" fillId="5" borderId="4" xfId="21" applyNumberFormat="1" applyFont="1" applyFill="1" applyBorder="1" applyProtection="1">
      <alignment/>
      <protection locked="0"/>
    </xf>
    <xf numFmtId="2" fontId="38" fillId="5" borderId="2" xfId="21" applyNumberFormat="1" applyFont="1" applyFill="1" applyBorder="1" applyProtection="1">
      <alignment/>
      <protection locked="0"/>
    </xf>
    <xf numFmtId="164" fontId="38" fillId="5" borderId="2" xfId="21" applyNumberFormat="1" applyFont="1" applyFill="1" applyBorder="1" applyProtection="1">
      <alignment/>
      <protection locked="0"/>
    </xf>
    <xf numFmtId="0" fontId="23" fillId="8" borderId="0" xfId="0" applyFont="1" applyFill="1" applyAlignment="1">
      <alignment/>
    </xf>
    <xf numFmtId="0" fontId="0" fillId="8" borderId="0" xfId="0" applyFill="1" applyAlignment="1">
      <alignment/>
    </xf>
    <xf numFmtId="0" fontId="21" fillId="8" borderId="0" xfId="0" applyFont="1" applyFill="1" applyAlignment="1">
      <alignment/>
    </xf>
    <xf numFmtId="0" fontId="0" fillId="8" borderId="1" xfId="0" applyFill="1" applyBorder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 applyProtection="1">
      <alignment horizontal="right"/>
      <protection hidden="1"/>
    </xf>
    <xf numFmtId="0" fontId="0" fillId="8" borderId="0" xfId="0" applyFill="1" applyAlignment="1" applyProtection="1">
      <alignment horizontal="right"/>
      <protection hidden="1"/>
    </xf>
    <xf numFmtId="172" fontId="38" fillId="3" borderId="19" xfId="21" applyNumberFormat="1" applyFont="1" applyFill="1" applyBorder="1" applyProtection="1">
      <alignment/>
      <protection locked="0"/>
    </xf>
    <xf numFmtId="165" fontId="38" fillId="5" borderId="2" xfId="21" applyNumberFormat="1" applyFont="1" applyFill="1" applyBorder="1" applyAlignment="1" applyProtection="1">
      <alignment horizontal="right"/>
      <protection locked="0"/>
    </xf>
    <xf numFmtId="0" fontId="32" fillId="2" borderId="0" xfId="21" applyFont="1" applyFill="1" applyAlignment="1" applyProtection="1">
      <alignment horizontal="center"/>
      <protection locked="0"/>
    </xf>
    <xf numFmtId="172" fontId="3" fillId="3" borderId="4" xfId="0" applyNumberFormat="1" applyFont="1" applyFill="1" applyBorder="1" applyAlignment="1" applyProtection="1">
      <alignment/>
      <protection hidden="1"/>
    </xf>
    <xf numFmtId="2" fontId="32" fillId="2" borderId="0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/>
      <protection locked="0"/>
    </xf>
    <xf numFmtId="2" fontId="22" fillId="2" borderId="0" xfId="0" applyNumberFormat="1" applyFont="1" applyFill="1" applyBorder="1" applyAlignment="1" applyProtection="1">
      <alignment horizontal="left"/>
      <protection locked="0"/>
    </xf>
    <xf numFmtId="0" fontId="38" fillId="2" borderId="0" xfId="21" applyFont="1" applyFill="1" applyAlignment="1" applyProtection="1">
      <alignment horizontal="right"/>
      <protection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2" fillId="8" borderId="51" xfId="0" applyFont="1" applyFill="1" applyBorder="1" applyAlignment="1" applyProtection="1">
      <alignment horizontal="center" vertical="center"/>
      <protection/>
    </xf>
    <xf numFmtId="0" fontId="2" fillId="8" borderId="52" xfId="0" applyFont="1" applyFill="1" applyBorder="1" applyAlignment="1" applyProtection="1">
      <alignment horizontal="center" vertical="center"/>
      <protection/>
    </xf>
    <xf numFmtId="0" fontId="2" fillId="8" borderId="53" xfId="0" applyFont="1" applyFill="1" applyBorder="1" applyAlignment="1" applyProtection="1">
      <alignment horizontal="center" vertical="center"/>
      <protection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8" borderId="51" xfId="21" applyFont="1" applyFill="1" applyBorder="1" applyAlignment="1" applyProtection="1">
      <alignment horizontal="center" vertical="center"/>
      <protection/>
    </xf>
    <xf numFmtId="0" fontId="2" fillId="8" borderId="52" xfId="21" applyFont="1" applyFill="1" applyBorder="1" applyAlignment="1" applyProtection="1">
      <alignment horizontal="center" vertical="center"/>
      <protection/>
    </xf>
    <xf numFmtId="0" fontId="2" fillId="8" borderId="53" xfId="21" applyFont="1" applyFill="1" applyBorder="1" applyAlignment="1" applyProtection="1">
      <alignment horizontal="center" vertical="center"/>
      <protection/>
    </xf>
    <xf numFmtId="0" fontId="2" fillId="8" borderId="54" xfId="21" applyFont="1" applyFill="1" applyBorder="1" applyAlignment="1" applyProtection="1">
      <alignment horizontal="center" vertical="center"/>
      <protection/>
    </xf>
    <xf numFmtId="0" fontId="2" fillId="7" borderId="51" xfId="21" applyFont="1" applyFill="1" applyBorder="1" applyAlignment="1" applyProtection="1">
      <alignment horizontal="center" vertical="center"/>
      <protection locked="0"/>
    </xf>
    <xf numFmtId="0" fontId="2" fillId="7" borderId="52" xfId="21" applyFont="1" applyFill="1" applyBorder="1" applyAlignment="1" applyProtection="1">
      <alignment horizontal="center" vertical="center"/>
      <protection locked="0"/>
    </xf>
    <xf numFmtId="0" fontId="2" fillId="7" borderId="53" xfId="21" applyFont="1" applyFill="1" applyBorder="1" applyAlignment="1" applyProtection="1">
      <alignment horizontal="center" vertical="center"/>
      <protection locked="0"/>
    </xf>
    <xf numFmtId="0" fontId="40" fillId="0" borderId="34" xfId="21" applyFont="1" applyFill="1" applyBorder="1" applyAlignment="1" applyProtection="1">
      <alignment horizontal="center" vertical="center"/>
      <protection/>
    </xf>
    <xf numFmtId="0" fontId="40" fillId="0" borderId="0" xfId="21" applyFont="1" applyFill="1" applyBorder="1" applyAlignment="1" applyProtection="1">
      <alignment horizontal="center" vertical="center"/>
      <protection/>
    </xf>
    <xf numFmtId="0" fontId="40" fillId="0" borderId="35" xfId="21" applyFont="1" applyFill="1" applyBorder="1" applyAlignment="1" applyProtection="1">
      <alignment horizontal="center" vertical="center"/>
      <protection/>
    </xf>
    <xf numFmtId="0" fontId="6" fillId="7" borderId="55" xfId="21" applyFont="1" applyFill="1" applyBorder="1" applyAlignment="1" applyProtection="1">
      <alignment horizontal="center" vertical="center"/>
      <protection/>
    </xf>
    <xf numFmtId="0" fontId="6" fillId="7" borderId="56" xfId="21" applyFont="1" applyFill="1" applyBorder="1" applyAlignment="1" applyProtection="1">
      <alignment horizontal="center" vertical="center"/>
      <protection/>
    </xf>
    <xf numFmtId="0" fontId="6" fillId="7" borderId="57" xfId="21" applyFont="1" applyFill="1" applyBorder="1" applyAlignment="1" applyProtection="1">
      <alignment horizontal="center" vertical="center"/>
      <protection/>
    </xf>
    <xf numFmtId="0" fontId="6" fillId="8" borderId="55" xfId="21" applyFont="1" applyFill="1" applyBorder="1" applyAlignment="1" applyProtection="1">
      <alignment horizontal="center" vertical="center"/>
      <protection/>
    </xf>
    <xf numFmtId="0" fontId="6" fillId="8" borderId="56" xfId="21" applyFont="1" applyFill="1" applyBorder="1" applyAlignment="1" applyProtection="1">
      <alignment horizontal="center" vertical="center"/>
      <protection/>
    </xf>
    <xf numFmtId="0" fontId="6" fillId="8" borderId="57" xfId="21" applyFont="1" applyFill="1" applyBorder="1" applyAlignment="1" applyProtection="1">
      <alignment horizontal="center" vertical="center"/>
      <protection/>
    </xf>
    <xf numFmtId="0" fontId="40" fillId="2" borderId="34" xfId="21" applyFont="1" applyFill="1" applyBorder="1" applyAlignment="1" applyProtection="1">
      <alignment horizontal="center" vertical="center"/>
      <protection/>
    </xf>
    <xf numFmtId="0" fontId="40" fillId="2" borderId="0" xfId="21" applyFont="1" applyFill="1" applyBorder="1" applyAlignment="1" applyProtection="1">
      <alignment horizontal="center" vertical="center"/>
      <protection/>
    </xf>
    <xf numFmtId="0" fontId="40" fillId="2" borderId="35" xfId="21" applyFont="1" applyFill="1" applyBorder="1" applyAlignment="1" applyProtection="1">
      <alignment horizontal="center" vertical="center"/>
      <protection/>
    </xf>
    <xf numFmtId="0" fontId="6" fillId="8" borderId="58" xfId="21" applyFont="1" applyFill="1" applyBorder="1" applyAlignment="1" applyProtection="1">
      <alignment horizontal="center" vertical="center"/>
      <protection/>
    </xf>
    <xf numFmtId="0" fontId="6" fillId="8" borderId="59" xfId="21" applyFont="1" applyFill="1" applyBorder="1" applyAlignment="1" applyProtection="1">
      <alignment horizontal="center" vertical="center"/>
      <protection/>
    </xf>
    <xf numFmtId="0" fontId="6" fillId="8" borderId="60" xfId="21" applyFont="1" applyFill="1" applyBorder="1" applyAlignment="1" applyProtection="1">
      <alignment horizontal="center" vertical="center"/>
      <protection/>
    </xf>
    <xf numFmtId="0" fontId="6" fillId="7" borderId="58" xfId="21" applyFont="1" applyFill="1" applyBorder="1" applyAlignment="1" applyProtection="1">
      <alignment horizontal="center" vertical="center"/>
      <protection/>
    </xf>
    <xf numFmtId="0" fontId="6" fillId="7" borderId="59" xfId="21" applyFont="1" applyFill="1" applyBorder="1" applyAlignment="1" applyProtection="1">
      <alignment horizontal="center" vertical="center"/>
      <protection/>
    </xf>
    <xf numFmtId="0" fontId="6" fillId="7" borderId="60" xfId="21" applyFont="1" applyFill="1" applyBorder="1" applyAlignment="1" applyProtection="1">
      <alignment horizontal="center" vertical="center"/>
      <protection/>
    </xf>
    <xf numFmtId="0" fontId="2" fillId="8" borderId="51" xfId="0" applyFont="1" applyFill="1" applyBorder="1" applyAlignment="1" applyProtection="1">
      <alignment horizontal="center"/>
      <protection hidden="1"/>
    </xf>
    <xf numFmtId="0" fontId="2" fillId="8" borderId="52" xfId="0" applyFont="1" applyFill="1" applyBorder="1" applyAlignment="1" applyProtection="1">
      <alignment horizontal="center"/>
      <protection hidden="1"/>
    </xf>
    <xf numFmtId="0" fontId="2" fillId="8" borderId="53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5" fontId="0" fillId="2" borderId="19" xfId="0" applyNumberFormat="1" applyFill="1" applyBorder="1" applyAlignment="1" applyProtection="1">
      <alignment horizontal="center" vertical="center"/>
      <protection hidden="1"/>
    </xf>
    <xf numFmtId="2" fontId="0" fillId="2" borderId="22" xfId="0" applyNumberFormat="1" applyFill="1" applyBorder="1" applyAlignment="1" applyProtection="1">
      <alignment horizontal="center" vertical="center"/>
      <protection hidden="1"/>
    </xf>
    <xf numFmtId="165" fontId="0" fillId="2" borderId="13" xfId="0" applyNumberFormat="1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2" fontId="0" fillId="2" borderId="19" xfId="0" applyNumberFormat="1" applyFill="1" applyBorder="1" applyAlignment="1" applyProtection="1">
      <alignment horizontal="center" vertical="center"/>
      <protection hidden="1"/>
    </xf>
    <xf numFmtId="2" fontId="0" fillId="2" borderId="20" xfId="0" applyNumberFormat="1" applyFill="1" applyBorder="1" applyAlignment="1" applyProtection="1">
      <alignment horizontal="center" vertical="center"/>
      <protection hidden="1"/>
    </xf>
    <xf numFmtId="2" fontId="0" fillId="2" borderId="23" xfId="0" applyNumberForma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2" fillId="8" borderId="51" xfId="0" applyFont="1" applyFill="1" applyBorder="1" applyAlignment="1" applyProtection="1">
      <alignment horizontal="center" vertical="center"/>
      <protection hidden="1"/>
    </xf>
    <xf numFmtId="0" fontId="2" fillId="8" borderId="52" xfId="0" applyFont="1" applyFill="1" applyBorder="1" applyAlignment="1" applyProtection="1">
      <alignment horizontal="center" vertical="center"/>
      <protection hidden="1"/>
    </xf>
    <xf numFmtId="0" fontId="2" fillId="8" borderId="53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8" borderId="52" xfId="0" applyFill="1" applyBorder="1" applyAlignment="1" applyProtection="1">
      <alignment horizontal="center" vertical="center"/>
      <protection/>
    </xf>
    <xf numFmtId="0" fontId="0" fillId="8" borderId="53" xfId="0" applyFill="1" applyBorder="1" applyAlignment="1" applyProtection="1">
      <alignment horizontal="center" vertical="center"/>
      <protection/>
    </xf>
    <xf numFmtId="0" fontId="1" fillId="6" borderId="4" xfId="0" applyFont="1" applyFill="1" applyBorder="1" applyAlignment="1" applyProtection="1">
      <alignment horizontal="left"/>
      <protection locked="0"/>
    </xf>
    <xf numFmtId="0" fontId="1" fillId="6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2" fillId="6" borderId="4" xfId="0" applyFont="1" applyFill="1" applyBorder="1" applyAlignment="1" applyProtection="1">
      <alignment horizontal="left"/>
      <protection locked="0"/>
    </xf>
    <xf numFmtId="0" fontId="22" fillId="6" borderId="2" xfId="0" applyFont="1" applyFill="1" applyBorder="1" applyAlignment="1" applyProtection="1">
      <alignment horizontal="left"/>
      <protection locked="0"/>
    </xf>
    <xf numFmtId="0" fontId="6" fillId="8" borderId="51" xfId="0" applyFont="1" applyFill="1" applyBorder="1" applyAlignment="1" applyProtection="1">
      <alignment horizontal="center" vertical="center"/>
      <protection hidden="1"/>
    </xf>
    <xf numFmtId="0" fontId="6" fillId="8" borderId="52" xfId="0" applyFont="1" applyFill="1" applyBorder="1" applyAlignment="1" applyProtection="1">
      <alignment horizontal="center" vertical="center"/>
      <protection hidden="1"/>
    </xf>
    <xf numFmtId="0" fontId="6" fillId="8" borderId="53" xfId="0" applyFont="1" applyFill="1" applyBorder="1" applyAlignment="1" applyProtection="1">
      <alignment horizontal="center" vertical="center"/>
      <protection hidden="1"/>
    </xf>
    <xf numFmtId="0" fontId="22" fillId="5" borderId="4" xfId="0" applyFont="1" applyFill="1" applyBorder="1" applyAlignment="1" applyProtection="1">
      <alignment horizontal="left"/>
      <protection locked="0"/>
    </xf>
    <xf numFmtId="0" fontId="22" fillId="5" borderId="2" xfId="0" applyFont="1" applyFill="1" applyBorder="1" applyAlignment="1" applyProtection="1">
      <alignment horizontal="left"/>
      <protection locked="0"/>
    </xf>
    <xf numFmtId="0" fontId="32" fillId="2" borderId="6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D-Channel_Flo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Velocity, Flow Depth, Froude Number &amp; Manning's n vs. Discharge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</a:t>
            </a:r>
          </a:p>
        </c:rich>
      </c:tx>
      <c:layout>
        <c:manualLayout>
          <c:xMode val="factor"/>
          <c:yMode val="factor"/>
          <c:x val="-0.00875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4325"/>
          <c:w val="0.88425"/>
          <c:h val="0.6835"/>
        </c:manualLayout>
      </c:layout>
      <c:scatterChart>
        <c:scatterStyle val="lineMarker"/>
        <c:varyColors val="0"/>
        <c:ser>
          <c:idx val="0"/>
          <c:order val="0"/>
          <c:tx>
            <c:v>Flow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Rating!$G$19:$G$39</c:f>
              <c:numCache/>
            </c:numRef>
          </c:xVal>
          <c:yVal>
            <c:numRef>
              <c:f>Rating!$A$19:$A$39</c:f>
              <c:numCache/>
            </c:numRef>
          </c:yVal>
          <c:smooth val="0"/>
        </c:ser>
        <c:ser>
          <c:idx val="1"/>
          <c:order val="1"/>
          <c:tx>
            <c:v>Velocity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Rating!$G$19:$G$39</c:f>
              <c:numCache/>
            </c:numRef>
          </c:xVal>
          <c:yVal>
            <c:numRef>
              <c:f>Rating!$F$19:$F$39</c:f>
              <c:numCache/>
            </c:numRef>
          </c:yVal>
          <c:smooth val="0"/>
        </c:ser>
        <c:ser>
          <c:idx val="2"/>
          <c:order val="2"/>
          <c:tx>
            <c:v>Froude No.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Rating!$G$19:$G$39</c:f>
              <c:numCache/>
            </c:numRef>
          </c:xVal>
          <c:yVal>
            <c:numRef>
              <c:f>Rating!$H$19:$H$39</c:f>
              <c:numCache/>
            </c:numRef>
          </c:yVal>
          <c:smooth val="0"/>
        </c:ser>
        <c:axId val="39297279"/>
        <c:axId val="18131192"/>
      </c:scatterChart>
      <c:scatterChart>
        <c:scatterStyle val="lineMarker"/>
        <c:varyColors val="0"/>
        <c:ser>
          <c:idx val="3"/>
          <c:order val="3"/>
          <c:tx>
            <c:v>Manning's 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Rating!$J$19:$J$39</c:f>
              <c:numCache/>
            </c:numRef>
          </c:xVal>
          <c:yVal>
            <c:numRef>
              <c:f>Rating!$B$19:$B$39</c:f>
              <c:numCache/>
            </c:numRef>
          </c:yVal>
          <c:smooth val="0"/>
        </c:ser>
        <c:axId val="28963001"/>
        <c:axId val="59340418"/>
      </c:scatterChart>
      <c:val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Rate in cfs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131192"/>
        <c:crosses val="autoZero"/>
        <c:crossBetween val="midCat"/>
        <c:dispUnits/>
      </c:val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Depth (ft), Velocity (fps), Froude No.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39297279"/>
        <c:crosses val="autoZero"/>
        <c:crossBetween val="midCat"/>
        <c:dispUnits/>
        <c:minorUnit val="0.5"/>
      </c:valAx>
      <c:valAx>
        <c:axId val="2896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VR Product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59340418"/>
        <c:crosses val="max"/>
        <c:crossBetween val="midCat"/>
        <c:dispUnits/>
      </c:valAx>
      <c:valAx>
        <c:axId val="59340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Manning's n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#,##0.000" sourceLinked="0"/>
        <c:majorTickMark val="in"/>
        <c:minorTickMark val="none"/>
        <c:tickLblPos val="nextTo"/>
        <c:crossAx val="28963001"/>
        <c:crosses val="max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5"/>
          <c:y val="0.91125"/>
          <c:w val="0.65125"/>
          <c:h val="0.066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Depth vs.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9875"/>
          <c:w val="0.896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Flow (cfs)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Rating!$G$19:$G$39</c:f>
              <c:numCache/>
            </c:numRef>
          </c:xVal>
          <c:yVal>
            <c:numRef>
              <c:f>Rating!$A$19:$A$39</c:f>
              <c:numCache/>
            </c:numRef>
          </c:yVal>
          <c:smooth val="0"/>
        </c:ser>
        <c:axId val="64301715"/>
        <c:axId val="41844524"/>
      </c:scatterChart>
      <c:val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844524"/>
        <c:crosses val="autoZero"/>
        <c:crossBetween val="midCat"/>
        <c:dispUnits/>
      </c:valAx>
      <c:valAx>
        <c:axId val="4184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Velocity, Froude Number, &amp; Manning's n vs. Flow Depth</a:t>
            </a:r>
          </a:p>
        </c:rich>
      </c:tx>
      <c:layout>
        <c:manualLayout>
          <c:xMode val="factor"/>
          <c:yMode val="factor"/>
          <c:x val="-0.00225"/>
          <c:y val="-0.017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17075"/>
          <c:w val="0.87"/>
          <c:h val="0.6765"/>
        </c:manualLayout>
      </c:layout>
      <c:scatterChart>
        <c:scatterStyle val="lineMarker"/>
        <c:varyColors val="0"/>
        <c:ser>
          <c:idx val="1"/>
          <c:order val="1"/>
          <c:tx>
            <c:v>Velocity (fps)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Rating!$A$19:$A$39</c:f>
              <c:numCache/>
            </c:numRef>
          </c:xVal>
          <c:yVal>
            <c:numRef>
              <c:f>Rating!$F$19:$F$39</c:f>
              <c:numCache/>
            </c:numRef>
          </c:yVal>
          <c:smooth val="0"/>
        </c:ser>
        <c:ser>
          <c:idx val="2"/>
          <c:order val="2"/>
          <c:tx>
            <c:v>Froude Number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Rating!$A$19:$A$39</c:f>
              <c:numCache/>
            </c:numRef>
          </c:xVal>
          <c:yVal>
            <c:numRef>
              <c:f>Rating!$H$19:$H$39</c:f>
              <c:numCache/>
            </c:numRef>
          </c:yVal>
          <c:smooth val="0"/>
        </c:ser>
        <c:axId val="41056397"/>
        <c:axId val="33963254"/>
      </c:scatterChart>
      <c:scatterChart>
        <c:scatterStyle val="lineMarker"/>
        <c:varyColors val="0"/>
        <c:ser>
          <c:idx val="0"/>
          <c:order val="0"/>
          <c:tx>
            <c:v>Manning's 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Rating!$J$19:$J$39</c:f>
              <c:numCache/>
            </c:numRef>
          </c:xVal>
          <c:yVal>
            <c:numRef>
              <c:f>Rating!$B$19:$B$39</c:f>
              <c:numCache/>
            </c:numRef>
          </c:yVal>
          <c:smooth val="0"/>
        </c:ser>
        <c:axId val="37233831"/>
        <c:axId val="66669024"/>
      </c:scatterChart>
      <c:val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Flow Depth (ft)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963254"/>
        <c:crosses val="autoZero"/>
        <c:crossBetween val="midCat"/>
        <c:dispUnits/>
      </c:val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(fps), Froude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6397"/>
        <c:crosses val="autoZero"/>
        <c:crossBetween val="midCat"/>
        <c:dispUnits/>
      </c:valAx>
      <c:valAx>
        <c:axId val="3723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VR Product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66669024"/>
        <c:crosses val="max"/>
        <c:crossBetween val="midCat"/>
        <c:dispUnits/>
      </c:valAx>
      <c:valAx>
        <c:axId val="66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Mannin'g n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#,##0.000" sourceLinked="0"/>
        <c:majorTickMark val="in"/>
        <c:minorTickMark val="none"/>
        <c:tickLblPos val="nextTo"/>
        <c:crossAx val="37233831"/>
        <c:crosses val="max"/>
        <c:crossBetween val="midCat"/>
        <c:dispUnits/>
      </c:valAx>
      <c:spPr>
        <a:noFill/>
        <a:ln w="38100">
          <a:solidFill/>
        </a:ln>
      </c:spPr>
    </c:plotArea>
    <c:legend>
      <c:legendPos val="b"/>
      <c:layout>
        <c:manualLayout>
          <c:xMode val="edge"/>
          <c:yMode val="edge"/>
          <c:x val="0.24375"/>
          <c:y val="0.9432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Specific Energy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08575"/>
          <c:w val="0.93025"/>
          <c:h val="0.8605"/>
        </c:manualLayout>
      </c:layout>
      <c:scatterChart>
        <c:scatterStyle val="lineMarker"/>
        <c:varyColors val="0"/>
        <c:ser>
          <c:idx val="0"/>
          <c:order val="0"/>
          <c:tx>
            <c:v>Specific Energy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'SP-Es'!$E$19:$E$35</c:f>
              <c:numCache/>
            </c:numRef>
          </c:xVal>
          <c:yVal>
            <c:numRef>
              <c:f>'SP-Es'!$A$19:$A$35</c:f>
              <c:numCache/>
            </c:numRef>
          </c:yVal>
          <c:smooth val="0"/>
        </c:ser>
        <c:axId val="63150305"/>
        <c:axId val="31481834"/>
      </c:scatterChart>
      <c:val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Es  in feet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1834"/>
        <c:crosses val="autoZero"/>
        <c:crossBetween val="midCat"/>
        <c:dispUnits/>
      </c:valAx>
      <c:valAx>
        <c:axId val="3148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Depth in ft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Specific Force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092"/>
          <c:w val="0.930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Specific Force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'SP-Fs'!$F$19:$F$32</c:f>
              <c:numCache/>
            </c:numRef>
          </c:xVal>
          <c:yVal>
            <c:numRef>
              <c:f>'SP-Fs'!$A$19:$A$32</c:f>
              <c:numCache/>
            </c:numRef>
          </c:yVal>
          <c:smooth val="0"/>
        </c:ser>
        <c:axId val="14901051"/>
        <c:axId val="67000596"/>
      </c:scatterChart>
      <c:val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Fs  in Klb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00596"/>
        <c:crosses val="autoZero"/>
        <c:crossBetween val="midCat"/>
        <c:dispUnits/>
      </c:val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Depth in ft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1051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</xdr:row>
      <xdr:rowOff>152400</xdr:rowOff>
    </xdr:from>
    <xdr:to>
      <xdr:col>5</xdr:col>
      <xdr:colOff>371475</xdr:colOff>
      <xdr:row>11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85850"/>
          <a:ext cx="455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9525</xdr:rowOff>
    </xdr:from>
    <xdr:to>
      <xdr:col>11</xdr:col>
      <xdr:colOff>304800</xdr:colOff>
      <xdr:row>11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14425"/>
          <a:ext cx="455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66675</xdr:rowOff>
    </xdr:from>
    <xdr:to>
      <xdr:col>8</xdr:col>
      <xdr:colOff>666750</xdr:colOff>
      <xdr:row>19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62075"/>
          <a:ext cx="80676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66675</xdr:rowOff>
    </xdr:from>
    <xdr:to>
      <xdr:col>8</xdr:col>
      <xdr:colOff>666750</xdr:colOff>
      <xdr:row>19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62075"/>
          <a:ext cx="80676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5</xdr:row>
      <xdr:rowOff>76200</xdr:rowOff>
    </xdr:from>
    <xdr:to>
      <xdr:col>5</xdr:col>
      <xdr:colOff>95250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114425"/>
          <a:ext cx="475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15</xdr:row>
      <xdr:rowOff>95250</xdr:rowOff>
    </xdr:from>
    <xdr:to>
      <xdr:col>4</xdr:col>
      <xdr:colOff>1085850</xdr:colOff>
      <xdr:row>44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62225"/>
          <a:ext cx="46577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18</xdr:row>
      <xdr:rowOff>0</xdr:rowOff>
    </xdr:from>
    <xdr:to>
      <xdr:col>47</xdr:col>
      <xdr:colOff>0</xdr:colOff>
      <xdr:row>21</xdr:row>
      <xdr:rowOff>0</xdr:rowOff>
    </xdr:to>
    <xdr:sp fLocksText="0">
      <xdr:nvSpPr>
        <xdr:cNvPr id="1" name="NewVal"/>
        <xdr:cNvSpPr txBox="1">
          <a:spLocks noChangeArrowheads="1"/>
        </xdr:cNvSpPr>
      </xdr:nvSpPr>
      <xdr:spPr>
        <a:xfrm>
          <a:off x="2333625" y="120015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26</xdr:row>
      <xdr:rowOff>0</xdr:rowOff>
    </xdr:from>
    <xdr:to>
      <xdr:col>55</xdr:col>
      <xdr:colOff>0</xdr:colOff>
      <xdr:row>29</xdr:row>
      <xdr:rowOff>0</xdr:rowOff>
    </xdr:to>
    <xdr:sp fLocksText="0">
      <xdr:nvSpPr>
        <xdr:cNvPr id="1" name="V100edit"/>
        <xdr:cNvSpPr txBox="1">
          <a:spLocks noChangeArrowheads="1"/>
        </xdr:cNvSpPr>
      </xdr:nvSpPr>
      <xdr:spPr>
        <a:xfrm>
          <a:off x="3333750" y="173355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4.6</a:t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55</xdr:col>
      <xdr:colOff>0</xdr:colOff>
      <xdr:row>24</xdr:row>
      <xdr:rowOff>0</xdr:rowOff>
    </xdr:to>
    <xdr:sp fLocksText="0">
      <xdr:nvSpPr>
        <xdr:cNvPr id="2" name="Y100edit"/>
        <xdr:cNvSpPr txBox="1">
          <a:spLocks noChangeArrowheads="1"/>
        </xdr:cNvSpPr>
      </xdr:nvSpPr>
      <xdr:spPr>
        <a:xfrm>
          <a:off x="3333750" y="14001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17</xdr:row>
      <xdr:rowOff>133350</xdr:rowOff>
    </xdr:from>
    <xdr:to>
      <xdr:col>16</xdr:col>
      <xdr:colOff>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6724650" y="4286250"/>
        <a:ext cx="6686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4</xdr:col>
      <xdr:colOff>0</xdr:colOff>
      <xdr:row>1</xdr:row>
      <xdr:rowOff>285750</xdr:rowOff>
    </xdr:from>
    <xdr:to>
      <xdr:col>7</xdr:col>
      <xdr:colOff>733425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600075"/>
          <a:ext cx="3248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47625</xdr:rowOff>
    </xdr:from>
    <xdr:to>
      <xdr:col>3</xdr:col>
      <xdr:colOff>781050</xdr:colOff>
      <xdr:row>6</xdr:row>
      <xdr:rowOff>161925</xdr:rowOff>
    </xdr:to>
    <xdr:graphicFrame>
      <xdr:nvGraphicFramePr>
        <xdr:cNvPr id="3" name="Chart 6"/>
        <xdr:cNvGraphicFramePr/>
      </xdr:nvGraphicFramePr>
      <xdr:xfrm>
        <a:off x="57150" y="361950"/>
        <a:ext cx="32385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8</xdr:col>
      <xdr:colOff>28575</xdr:colOff>
      <xdr:row>1</xdr:row>
      <xdr:rowOff>85725</xdr:rowOff>
    </xdr:from>
    <xdr:to>
      <xdr:col>15</xdr:col>
      <xdr:colOff>809625</xdr:colOff>
      <xdr:row>17</xdr:row>
      <xdr:rowOff>133350</xdr:rowOff>
    </xdr:to>
    <xdr:graphicFrame>
      <xdr:nvGraphicFramePr>
        <xdr:cNvPr id="4" name="Chart 5"/>
        <xdr:cNvGraphicFramePr/>
      </xdr:nvGraphicFramePr>
      <xdr:xfrm>
        <a:off x="6734175" y="400050"/>
        <a:ext cx="6648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66675</xdr:rowOff>
    </xdr:from>
    <xdr:to>
      <xdr:col>12</xdr:col>
      <xdr:colOff>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5829300" y="647700"/>
        <a:ext cx="5829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657225</xdr:colOff>
      <xdr:row>1</xdr:row>
      <xdr:rowOff>114300</xdr:rowOff>
    </xdr:from>
    <xdr:to>
      <xdr:col>5</xdr:col>
      <xdr:colOff>266700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28625"/>
          <a:ext cx="4467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19050</xdr:rowOff>
    </xdr:from>
    <xdr:to>
      <xdr:col>13</xdr:col>
      <xdr:colOff>771525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5895975" y="561975"/>
        <a:ext cx="57721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676275</xdr:colOff>
      <xdr:row>1</xdr:row>
      <xdr:rowOff>76200</xdr:rowOff>
    </xdr:from>
    <xdr:to>
      <xdr:col>6</xdr:col>
      <xdr:colOff>114300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0525"/>
          <a:ext cx="4467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16</xdr:row>
      <xdr:rowOff>76200</xdr:rowOff>
    </xdr:from>
    <xdr:to>
      <xdr:col>15</xdr:col>
      <xdr:colOff>581025</xdr:colOff>
      <xdr:row>22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438525"/>
          <a:ext cx="4657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16</xdr:row>
      <xdr:rowOff>104775</xdr:rowOff>
    </xdr:from>
    <xdr:to>
      <xdr:col>31</xdr:col>
      <xdr:colOff>590550</xdr:colOff>
      <xdr:row>22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16375" y="3467100"/>
          <a:ext cx="454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142875</xdr:colOff>
      <xdr:row>16</xdr:row>
      <xdr:rowOff>76200</xdr:rowOff>
    </xdr:from>
    <xdr:to>
      <xdr:col>47</xdr:col>
      <xdr:colOff>571500</xdr:colOff>
      <xdr:row>22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79625" y="3438525"/>
          <a:ext cx="4429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133350</xdr:colOff>
      <xdr:row>16</xdr:row>
      <xdr:rowOff>47625</xdr:rowOff>
    </xdr:from>
    <xdr:to>
      <xdr:col>47</xdr:col>
      <xdr:colOff>609600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0100" y="3409950"/>
          <a:ext cx="4476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428625</xdr:colOff>
      <xdr:row>16</xdr:row>
      <xdr:rowOff>47625</xdr:rowOff>
    </xdr:from>
    <xdr:to>
      <xdr:col>31</xdr:col>
      <xdr:colOff>619125</xdr:colOff>
      <xdr:row>22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30625" y="3409950"/>
          <a:ext cx="4857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16</xdr:row>
      <xdr:rowOff>57150</xdr:rowOff>
    </xdr:from>
    <xdr:to>
      <xdr:col>15</xdr:col>
      <xdr:colOff>619125</xdr:colOff>
      <xdr:row>22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3419475"/>
          <a:ext cx="4657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6</xdr:row>
      <xdr:rowOff>9525</xdr:rowOff>
    </xdr:from>
    <xdr:to>
      <xdr:col>6</xdr:col>
      <xdr:colOff>28575</xdr:colOff>
      <xdr:row>11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85850"/>
          <a:ext cx="502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66675</xdr:rowOff>
    </xdr:from>
    <xdr:to>
      <xdr:col>6</xdr:col>
      <xdr:colOff>28575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41"/>
        <a:stretch>
          <a:fillRect/>
        </a:stretch>
      </xdr:blipFill>
      <xdr:spPr>
        <a:xfrm>
          <a:off x="1133475" y="981075"/>
          <a:ext cx="4095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142875</xdr:rowOff>
    </xdr:from>
    <xdr:to>
      <xdr:col>4</xdr:col>
      <xdr:colOff>38100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23925"/>
          <a:ext cx="455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dfcd.org/download.htm" TargetMode="External" /><Relationship Id="rId2" Type="http://schemas.openxmlformats.org/officeDocument/2006/relationships/hyperlink" Target="mailto:udfcd@udfcd.or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68"/>
  <sheetViews>
    <sheetView tabSelected="1" zoomScale="75" zoomScaleNormal="75" workbookViewId="0" topLeftCell="A1">
      <selection activeCell="A2" sqref="A2:H4"/>
    </sheetView>
  </sheetViews>
  <sheetFormatPr defaultColWidth="9.140625" defaultRowHeight="12.75"/>
  <cols>
    <col min="1" max="1" width="21.00390625" style="75" bestFit="1" customWidth="1"/>
    <col min="2" max="2" width="11.7109375" style="75" customWidth="1"/>
    <col min="3" max="5" width="9.140625" style="75" customWidth="1"/>
    <col min="6" max="6" width="14.421875" style="75" customWidth="1"/>
    <col min="7" max="7" width="9.140625" style="75" customWidth="1"/>
    <col min="8" max="8" width="24.8515625" style="75" customWidth="1"/>
    <col min="9" max="16384" width="9.140625" style="75" customWidth="1"/>
  </cols>
  <sheetData>
    <row r="1" ht="13.5" thickBot="1"/>
    <row r="2" spans="1:8" ht="15.75" customHeight="1" thickTop="1">
      <c r="A2" s="541" t="s">
        <v>618</v>
      </c>
      <c r="B2" s="542"/>
      <c r="C2" s="542"/>
      <c r="D2" s="542"/>
      <c r="E2" s="542"/>
      <c r="F2" s="542"/>
      <c r="G2" s="542"/>
      <c r="H2" s="543"/>
    </row>
    <row r="3" spans="1:8" ht="15.75" customHeight="1">
      <c r="A3" s="544"/>
      <c r="B3" s="545"/>
      <c r="C3" s="545"/>
      <c r="D3" s="545"/>
      <c r="E3" s="545"/>
      <c r="F3" s="545"/>
      <c r="G3" s="545"/>
      <c r="H3" s="546"/>
    </row>
    <row r="4" spans="1:8" ht="15.75" customHeight="1" thickBot="1">
      <c r="A4" s="547"/>
      <c r="B4" s="548"/>
      <c r="C4" s="548"/>
      <c r="D4" s="548"/>
      <c r="E4" s="548"/>
      <c r="F4" s="548"/>
      <c r="G4" s="548"/>
      <c r="H4" s="549"/>
    </row>
    <row r="5" spans="1:8" ht="16.5" thickTop="1">
      <c r="A5" s="551" t="s">
        <v>627</v>
      </c>
      <c r="B5" s="551"/>
      <c r="C5" s="551"/>
      <c r="D5" s="551"/>
      <c r="E5" s="551"/>
      <c r="F5" s="551"/>
      <c r="G5" s="551"/>
      <c r="H5" s="551"/>
    </row>
    <row r="6" spans="1:8" ht="15.75">
      <c r="A6" s="550" t="s">
        <v>5</v>
      </c>
      <c r="B6" s="550"/>
      <c r="C6" s="550"/>
      <c r="D6" s="550"/>
      <c r="E6" s="550"/>
      <c r="F6" s="550"/>
      <c r="G6" s="550"/>
      <c r="H6" s="550"/>
    </row>
    <row r="7" spans="1:8" ht="15.75">
      <c r="A7" s="550" t="s">
        <v>6</v>
      </c>
      <c r="B7" s="550"/>
      <c r="C7" s="550"/>
      <c r="D7" s="550"/>
      <c r="E7" s="550"/>
      <c r="F7" s="550"/>
      <c r="G7" s="550"/>
      <c r="H7" s="550"/>
    </row>
    <row r="9" spans="1:2" ht="15.75">
      <c r="A9" s="525" t="s">
        <v>196</v>
      </c>
      <c r="B9" s="76" t="s">
        <v>372</v>
      </c>
    </row>
    <row r="10" spans="1:2" ht="12.75">
      <c r="A10" s="526"/>
      <c r="B10" s="76"/>
    </row>
    <row r="11" spans="1:2" ht="15.75">
      <c r="A11" s="525" t="s">
        <v>198</v>
      </c>
      <c r="B11" s="76" t="s">
        <v>595</v>
      </c>
    </row>
    <row r="12" spans="1:2" ht="12.75">
      <c r="A12" s="527"/>
      <c r="B12" s="76"/>
    </row>
    <row r="13" spans="1:2" ht="12.75">
      <c r="A13" s="526"/>
      <c r="B13" s="76" t="s">
        <v>596</v>
      </c>
    </row>
    <row r="14" spans="1:2" ht="12.75">
      <c r="A14" s="526"/>
      <c r="B14" s="76"/>
    </row>
    <row r="15" spans="1:2" ht="12.75">
      <c r="A15" s="526"/>
      <c r="B15" s="76" t="s">
        <v>600</v>
      </c>
    </row>
    <row r="16" spans="1:2" ht="12.75">
      <c r="A16" s="526"/>
      <c r="B16" s="76"/>
    </row>
    <row r="17" spans="1:2" ht="12.75">
      <c r="A17" s="526"/>
      <c r="B17" s="76" t="s">
        <v>602</v>
      </c>
    </row>
    <row r="18" spans="1:2" ht="12.75">
      <c r="A18" s="526"/>
      <c r="B18" s="76"/>
    </row>
    <row r="19" spans="1:2" ht="12.75">
      <c r="A19" s="526"/>
      <c r="B19" s="76" t="s">
        <v>601</v>
      </c>
    </row>
    <row r="20" spans="1:2" ht="12.75">
      <c r="A20" s="526"/>
      <c r="B20" s="76"/>
    </row>
    <row r="21" spans="1:2" ht="12.75">
      <c r="A21" s="526"/>
      <c r="B21" s="76" t="s">
        <v>603</v>
      </c>
    </row>
    <row r="22" spans="1:2" ht="12.75">
      <c r="A22" s="526"/>
      <c r="B22" s="76"/>
    </row>
    <row r="23" spans="1:2" ht="12.75">
      <c r="A23" s="526"/>
      <c r="B23" s="76" t="s">
        <v>597</v>
      </c>
    </row>
    <row r="24" spans="1:2" ht="12.75">
      <c r="A24" s="526"/>
      <c r="B24" s="76"/>
    </row>
    <row r="25" spans="1:2" ht="12.75">
      <c r="A25" s="526"/>
      <c r="B25" s="76" t="s">
        <v>598</v>
      </c>
    </row>
    <row r="26" spans="1:2" ht="12.75">
      <c r="A26" s="526"/>
      <c r="B26" s="76"/>
    </row>
    <row r="27" spans="1:8" ht="13.5" thickBot="1">
      <c r="A27" s="528"/>
      <c r="B27" s="78" t="s">
        <v>599</v>
      </c>
      <c r="C27" s="77"/>
      <c r="D27" s="77"/>
      <c r="E27" s="77"/>
      <c r="F27" s="77"/>
      <c r="G27" s="77"/>
      <c r="H27" s="77"/>
    </row>
    <row r="28" ht="13.5" thickTop="1">
      <c r="A28" s="526"/>
    </row>
    <row r="29" spans="1:2" ht="15.75">
      <c r="A29" s="525" t="s">
        <v>197</v>
      </c>
      <c r="B29" s="76" t="s">
        <v>608</v>
      </c>
    </row>
    <row r="30" ht="12.75">
      <c r="A30" s="529"/>
    </row>
    <row r="31" spans="1:2" ht="12.75">
      <c r="A31" s="530" t="s">
        <v>429</v>
      </c>
      <c r="B31" s="75" t="s">
        <v>430</v>
      </c>
    </row>
    <row r="32" spans="1:2" ht="12.75">
      <c r="A32" s="530"/>
      <c r="B32" s="75" t="s">
        <v>431</v>
      </c>
    </row>
    <row r="33" ht="12.75">
      <c r="A33" s="530"/>
    </row>
    <row r="34" spans="1:2" ht="12.75">
      <c r="A34" s="530" t="s">
        <v>556</v>
      </c>
      <c r="B34" s="79" t="s">
        <v>559</v>
      </c>
    </row>
    <row r="35" spans="1:2" ht="12.75">
      <c r="A35" s="530"/>
      <c r="B35" s="79"/>
    </row>
    <row r="36" spans="1:2" ht="12.75">
      <c r="A36" s="530" t="s">
        <v>557</v>
      </c>
      <c r="B36" s="79" t="s">
        <v>560</v>
      </c>
    </row>
    <row r="37" spans="1:2" ht="12.75">
      <c r="A37" s="530"/>
      <c r="B37" s="79"/>
    </row>
    <row r="38" spans="1:2" ht="12.75">
      <c r="A38" s="530" t="s">
        <v>558</v>
      </c>
      <c r="B38" s="79" t="s">
        <v>561</v>
      </c>
    </row>
    <row r="39" spans="1:2" ht="12.75">
      <c r="A39" s="530"/>
      <c r="B39" s="79"/>
    </row>
    <row r="40" spans="1:2" ht="12.75">
      <c r="A40" s="530" t="s">
        <v>607</v>
      </c>
      <c r="B40" s="75" t="s">
        <v>533</v>
      </c>
    </row>
    <row r="41" ht="12.75">
      <c r="A41" s="530"/>
    </row>
    <row r="42" spans="1:2" ht="12.75">
      <c r="A42" s="530" t="s">
        <v>432</v>
      </c>
      <c r="B42" s="75" t="s">
        <v>534</v>
      </c>
    </row>
    <row r="43" ht="12.75">
      <c r="A43" s="530"/>
    </row>
    <row r="44" spans="1:2" ht="12.75">
      <c r="A44" s="530" t="s">
        <v>199</v>
      </c>
      <c r="B44" s="75" t="s">
        <v>382</v>
      </c>
    </row>
    <row r="45" ht="12.75">
      <c r="A45" s="530"/>
    </row>
    <row r="46" spans="1:2" ht="12.75">
      <c r="A46" s="530" t="s">
        <v>609</v>
      </c>
      <c r="B46" s="75" t="s">
        <v>610</v>
      </c>
    </row>
    <row r="47" ht="12.75">
      <c r="A47" s="530"/>
    </row>
    <row r="48" spans="1:2" ht="12.75">
      <c r="A48" s="530" t="s">
        <v>65</v>
      </c>
      <c r="B48" s="75" t="s">
        <v>562</v>
      </c>
    </row>
    <row r="49" ht="12.75">
      <c r="A49" s="530"/>
    </row>
    <row r="50" spans="1:2" ht="12.75">
      <c r="A50" s="530" t="s">
        <v>200</v>
      </c>
      <c r="B50" s="75" t="s">
        <v>412</v>
      </c>
    </row>
    <row r="51" ht="12.75">
      <c r="A51" s="530"/>
    </row>
    <row r="52" spans="1:2" ht="12.75">
      <c r="A52" s="530" t="s">
        <v>201</v>
      </c>
      <c r="B52" s="75" t="s">
        <v>413</v>
      </c>
    </row>
    <row r="53" ht="12.75">
      <c r="A53" s="530"/>
    </row>
    <row r="54" spans="1:2" ht="12.75">
      <c r="A54" s="530" t="s">
        <v>373</v>
      </c>
      <c r="B54" s="75" t="s">
        <v>409</v>
      </c>
    </row>
    <row r="55" ht="12.75">
      <c r="A55" s="530"/>
    </row>
    <row r="56" spans="1:2" ht="12.75">
      <c r="A56" s="530" t="s">
        <v>106</v>
      </c>
      <c r="B56" s="75" t="s">
        <v>563</v>
      </c>
    </row>
    <row r="57" ht="12.75">
      <c r="A57" s="530"/>
    </row>
    <row r="58" spans="1:2" ht="14.25">
      <c r="A58" s="531" t="s">
        <v>368</v>
      </c>
      <c r="B58" s="80" t="s">
        <v>369</v>
      </c>
    </row>
    <row r="59" spans="1:2" ht="12.75">
      <c r="A59" s="532"/>
      <c r="B59" s="82" t="s">
        <v>365</v>
      </c>
    </row>
    <row r="60" spans="1:2" ht="12.75">
      <c r="A60" s="532"/>
      <c r="B60" s="81" t="s">
        <v>366</v>
      </c>
    </row>
    <row r="61" spans="1:2" ht="12.75">
      <c r="A61" s="532"/>
      <c r="B61" s="81" t="s">
        <v>367</v>
      </c>
    </row>
    <row r="62" spans="1:2" ht="12.75">
      <c r="A62" s="532"/>
      <c r="B62" s="82" t="s">
        <v>628</v>
      </c>
    </row>
    <row r="63" spans="1:2" ht="12.75">
      <c r="A63" s="532"/>
      <c r="B63" s="81" t="s">
        <v>5</v>
      </c>
    </row>
    <row r="64" spans="1:2" ht="12.75">
      <c r="A64" s="532"/>
      <c r="B64" s="82" t="s">
        <v>370</v>
      </c>
    </row>
    <row r="65" spans="1:2" ht="12.75">
      <c r="A65" s="532"/>
      <c r="B65" s="83" t="s">
        <v>6</v>
      </c>
    </row>
    <row r="66" spans="1:2" ht="12.75">
      <c r="A66" s="532"/>
      <c r="B66" s="81" t="s">
        <v>0</v>
      </c>
    </row>
    <row r="67" spans="1:7" ht="12.75">
      <c r="A67" s="531" t="s">
        <v>371</v>
      </c>
      <c r="B67" s="83" t="s">
        <v>405</v>
      </c>
      <c r="G67" s="84" t="s">
        <v>406</v>
      </c>
    </row>
    <row r="68" spans="1:7" ht="12.75">
      <c r="A68" s="531" t="s">
        <v>407</v>
      </c>
      <c r="B68" s="83" t="s">
        <v>414</v>
      </c>
      <c r="G68" s="84" t="s">
        <v>408</v>
      </c>
    </row>
  </sheetData>
  <sheetProtection password="D2C3" sheet="1" objects="1" scenarios="1" formatCells="0" formatColumns="0" formatRows="0"/>
  <mergeCells count="4">
    <mergeCell ref="A2:H4"/>
    <mergeCell ref="A6:H6"/>
    <mergeCell ref="A7:H7"/>
    <mergeCell ref="A5:H5"/>
  </mergeCells>
  <hyperlinks>
    <hyperlink ref="G68" r:id="rId1" display="Downloads"/>
    <hyperlink ref="G67" r:id="rId2" display="UDFCD E-Mail"/>
  </hyperlinks>
  <printOptions horizontalCentered="1"/>
  <pageMargins left="0.75" right="0.75" top="0.75" bottom="0.75" header="0.5" footer="0.5"/>
  <pageSetup fitToHeight="1" fitToWidth="1" horizontalDpi="300" verticalDpi="300" orientation="portrait" scale="79" r:id="rId4"/>
  <headerFooter alignWithMargins="0">
    <oddFooter>&amp;L&amp;F, &amp;A&amp;R&amp;D, &amp;T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F57"/>
  <sheetViews>
    <sheetView showGridLines="0" zoomScale="75" zoomScaleNormal="75" workbookViewId="0" topLeftCell="A1">
      <selection activeCell="B2" sqref="B2:E2"/>
    </sheetView>
  </sheetViews>
  <sheetFormatPr defaultColWidth="9.140625" defaultRowHeight="12.75"/>
  <cols>
    <col min="1" max="1" width="12.7109375" style="224" bestFit="1" customWidth="1"/>
    <col min="2" max="2" width="51.57421875" style="224" customWidth="1"/>
    <col min="3" max="3" width="9.140625" style="224" customWidth="1"/>
    <col min="4" max="4" width="10.57421875" style="224" customWidth="1"/>
    <col min="5" max="5" width="7.8515625" style="224" customWidth="1"/>
    <col min="6" max="6" width="14.7109375" style="224" customWidth="1"/>
    <col min="7" max="51" width="9.140625" style="224" customWidth="1"/>
    <col min="52" max="52" width="0" style="224" hidden="1" customWidth="1"/>
    <col min="53" max="16384" width="9.140625" style="224" customWidth="1"/>
  </cols>
  <sheetData>
    <row r="1" ht="6.75" customHeight="1" thickBot="1"/>
    <row r="2" spans="2:5" ht="19.5" thickBot="1" thickTop="1">
      <c r="B2" s="552" t="s">
        <v>616</v>
      </c>
      <c r="C2" s="601"/>
      <c r="D2" s="601"/>
      <c r="E2" s="602"/>
    </row>
    <row r="3" ht="9.75" customHeight="1" thickTop="1">
      <c r="B3" s="233"/>
    </row>
    <row r="4" spans="1:5" ht="12.75">
      <c r="A4" s="226" t="s">
        <v>375</v>
      </c>
      <c r="B4" s="603"/>
      <c r="C4" s="603"/>
      <c r="D4" s="603"/>
      <c r="E4" s="603"/>
    </row>
    <row r="5" spans="1:5" ht="12.75">
      <c r="A5" s="226" t="s">
        <v>376</v>
      </c>
      <c r="B5" s="604"/>
      <c r="C5" s="604"/>
      <c r="D5" s="604"/>
      <c r="E5" s="604"/>
    </row>
    <row r="6" spans="1:6" ht="12.75">
      <c r="A6" s="234"/>
      <c r="B6" s="231"/>
      <c r="C6" s="234"/>
      <c r="D6" s="234"/>
      <c r="E6" s="234"/>
      <c r="F6" s="234"/>
    </row>
    <row r="7" spans="1:6" ht="12.75">
      <c r="A7" s="234"/>
      <c r="B7" s="231"/>
      <c r="C7" s="234"/>
      <c r="D7" s="234"/>
      <c r="E7" s="234"/>
      <c r="F7" s="234"/>
    </row>
    <row r="8" spans="1:6" ht="12.75">
      <c r="A8" s="234"/>
      <c r="B8" s="231"/>
      <c r="C8" s="234"/>
      <c r="D8" s="234"/>
      <c r="E8" s="234"/>
      <c r="F8" s="234"/>
    </row>
    <row r="9" spans="1:6" ht="12.75">
      <c r="A9" s="234"/>
      <c r="B9" s="231"/>
      <c r="C9" s="234"/>
      <c r="D9" s="234"/>
      <c r="E9" s="234"/>
      <c r="F9" s="234"/>
    </row>
    <row r="10" spans="1:6" ht="12.75">
      <c r="A10" s="234"/>
      <c r="B10" s="231"/>
      <c r="C10" s="234"/>
      <c r="D10" s="234"/>
      <c r="E10" s="234"/>
      <c r="F10" s="234"/>
    </row>
    <row r="11" spans="1:6" ht="12.75">
      <c r="A11" s="234"/>
      <c r="B11" s="231"/>
      <c r="C11" s="234"/>
      <c r="D11" s="234"/>
      <c r="E11" s="234"/>
      <c r="F11" s="234"/>
    </row>
    <row r="12" spans="1:6" ht="7.5" customHeight="1">
      <c r="A12" s="234"/>
      <c r="B12" s="231"/>
      <c r="C12" s="234"/>
      <c r="D12" s="234"/>
      <c r="E12" s="234"/>
      <c r="F12" s="234"/>
    </row>
    <row r="13" spans="1:2" ht="9" customHeight="1" thickBot="1">
      <c r="A13" s="234"/>
      <c r="B13" s="234"/>
    </row>
    <row r="14" spans="1:6" ht="14.25" customHeight="1" thickTop="1">
      <c r="A14" s="226"/>
      <c r="B14" s="235" t="s">
        <v>107</v>
      </c>
      <c r="C14" s="236"/>
      <c r="D14" s="236"/>
      <c r="E14" s="237"/>
      <c r="F14" s="234"/>
    </row>
    <row r="15" spans="1:6" ht="14.25" customHeight="1">
      <c r="A15" s="231"/>
      <c r="B15" s="238" t="s">
        <v>12</v>
      </c>
      <c r="C15" s="239" t="s">
        <v>11</v>
      </c>
      <c r="D15" s="270"/>
      <c r="E15" s="240" t="s">
        <v>1</v>
      </c>
      <c r="F15" s="234"/>
    </row>
    <row r="16" spans="1:6" ht="14.25" customHeight="1">
      <c r="A16" s="231"/>
      <c r="B16" s="238" t="s">
        <v>13</v>
      </c>
      <c r="C16" s="239" t="s">
        <v>15</v>
      </c>
      <c r="D16" s="271"/>
      <c r="E16" s="240" t="s">
        <v>16</v>
      </c>
      <c r="F16" s="234"/>
    </row>
    <row r="17" spans="1:6" ht="14.25" customHeight="1">
      <c r="A17" s="232">
        <f>IF(AZ26="","",AZ26)</f>
      </c>
      <c r="B17" s="238" t="s">
        <v>17</v>
      </c>
      <c r="C17" s="239" t="s">
        <v>18</v>
      </c>
      <c r="D17" s="271"/>
      <c r="E17" s="240" t="s">
        <v>1</v>
      </c>
      <c r="F17" s="234"/>
    </row>
    <row r="18" spans="1:6" ht="14.25" customHeight="1">
      <c r="A18" s="232">
        <f>IF(AZ27="","",AZ27)</f>
      </c>
      <c r="B18" s="238" t="s">
        <v>19</v>
      </c>
      <c r="C18" s="239" t="s">
        <v>20</v>
      </c>
      <c r="D18" s="271"/>
      <c r="E18" s="240" t="s">
        <v>1</v>
      </c>
      <c r="F18" s="234"/>
    </row>
    <row r="19" spans="1:6" ht="14.25" customHeight="1">
      <c r="A19" s="226"/>
      <c r="B19" s="238" t="s">
        <v>379</v>
      </c>
      <c r="C19" s="239" t="s">
        <v>120</v>
      </c>
      <c r="D19" s="272"/>
      <c r="E19" s="240"/>
      <c r="F19" s="234"/>
    </row>
    <row r="20" spans="1:6" ht="14.25" customHeight="1">
      <c r="A20" s="226"/>
      <c r="B20" s="238" t="s">
        <v>175</v>
      </c>
      <c r="C20" s="239" t="s">
        <v>125</v>
      </c>
      <c r="D20" s="271"/>
      <c r="E20" s="240" t="s">
        <v>2</v>
      </c>
      <c r="F20" s="234"/>
    </row>
    <row r="21" spans="1:6" ht="14.25" customHeight="1">
      <c r="A21" s="231"/>
      <c r="B21" s="241" t="s">
        <v>124</v>
      </c>
      <c r="C21" s="242" t="s">
        <v>102</v>
      </c>
      <c r="D21" s="273"/>
      <c r="E21" s="243" t="s">
        <v>4</v>
      </c>
      <c r="F21" s="234"/>
    </row>
    <row r="22" spans="1:6" ht="5.25" customHeight="1" thickBot="1">
      <c r="A22" s="231"/>
      <c r="B22" s="241"/>
      <c r="C22" s="242"/>
      <c r="D22" s="244"/>
      <c r="E22" s="243"/>
      <c r="F22" s="234"/>
    </row>
    <row r="23" spans="1:6" ht="14.25" customHeight="1" thickTop="1">
      <c r="A23" s="226"/>
      <c r="B23" s="235" t="s">
        <v>133</v>
      </c>
      <c r="C23" s="245"/>
      <c r="D23" s="246"/>
      <c r="E23" s="247"/>
      <c r="F23" s="234"/>
    </row>
    <row r="24" spans="1:6" ht="14.25" customHeight="1">
      <c r="A24" s="226"/>
      <c r="B24" s="241" t="s">
        <v>136</v>
      </c>
      <c r="C24" s="242" t="s">
        <v>126</v>
      </c>
      <c r="D24" s="85"/>
      <c r="E24" s="243"/>
      <c r="F24" s="248"/>
    </row>
    <row r="25" spans="1:6" ht="14.25" customHeight="1">
      <c r="A25" s="226"/>
      <c r="B25" s="241" t="s">
        <v>137</v>
      </c>
      <c r="C25" s="242" t="s">
        <v>119</v>
      </c>
      <c r="D25" s="86"/>
      <c r="E25" s="243" t="s">
        <v>63</v>
      </c>
      <c r="F25" s="248"/>
    </row>
    <row r="26" spans="1:6" ht="14.25" customHeight="1">
      <c r="A26" s="231"/>
      <c r="B26" s="241" t="s">
        <v>594</v>
      </c>
      <c r="C26" s="242" t="s">
        <v>593</v>
      </c>
      <c r="D26" s="87"/>
      <c r="E26" s="243" t="s">
        <v>0</v>
      </c>
      <c r="F26" s="248"/>
    </row>
    <row r="27" spans="1:6" ht="14.25" customHeight="1">
      <c r="A27" s="225"/>
      <c r="B27" s="241" t="s">
        <v>138</v>
      </c>
      <c r="C27" s="242" t="s">
        <v>126</v>
      </c>
      <c r="D27" s="88"/>
      <c r="E27" s="243"/>
      <c r="F27" s="248"/>
    </row>
    <row r="28" spans="1:6" ht="14.25" customHeight="1">
      <c r="A28" s="225"/>
      <c r="B28" s="241" t="s">
        <v>139</v>
      </c>
      <c r="C28" s="242" t="s">
        <v>119</v>
      </c>
      <c r="D28" s="86"/>
      <c r="E28" s="243" t="s">
        <v>63</v>
      </c>
      <c r="F28" s="248"/>
    </row>
    <row r="29" spans="1:6" ht="14.25" customHeight="1">
      <c r="A29" s="225"/>
      <c r="B29" s="241" t="s">
        <v>140</v>
      </c>
      <c r="C29" s="242" t="s">
        <v>593</v>
      </c>
      <c r="D29" s="87"/>
      <c r="E29" s="243" t="s">
        <v>0</v>
      </c>
      <c r="F29" s="248"/>
    </row>
    <row r="30" spans="1:6" ht="14.25" customHeight="1">
      <c r="A30" s="226"/>
      <c r="B30" s="238" t="s">
        <v>21</v>
      </c>
      <c r="C30" s="239" t="s">
        <v>22</v>
      </c>
      <c r="D30" s="4"/>
      <c r="E30" s="240" t="s">
        <v>2</v>
      </c>
      <c r="F30" s="248"/>
    </row>
    <row r="31" spans="1:6" ht="14.25" customHeight="1">
      <c r="A31" s="227"/>
      <c r="B31" s="238" t="s">
        <v>176</v>
      </c>
      <c r="C31" s="239" t="s">
        <v>112</v>
      </c>
      <c r="D31" s="3"/>
      <c r="E31" s="240" t="s">
        <v>2</v>
      </c>
      <c r="F31" s="248"/>
    </row>
    <row r="32" spans="1:6" ht="14.25" customHeight="1">
      <c r="A32" s="226"/>
      <c r="B32" s="238" t="s">
        <v>26</v>
      </c>
      <c r="C32" s="239" t="s">
        <v>7</v>
      </c>
      <c r="D32" s="3"/>
      <c r="E32" s="240" t="s">
        <v>28</v>
      </c>
      <c r="F32" s="248"/>
    </row>
    <row r="33" spans="1:6" ht="14.25" customHeight="1">
      <c r="A33" s="226"/>
      <c r="B33" s="238" t="s">
        <v>31</v>
      </c>
      <c r="C33" s="239" t="s">
        <v>103</v>
      </c>
      <c r="D33" s="3"/>
      <c r="E33" s="240" t="s">
        <v>2</v>
      </c>
      <c r="F33" s="248"/>
    </row>
    <row r="34" spans="1:6" ht="14.25" customHeight="1">
      <c r="A34" s="226"/>
      <c r="B34" s="238" t="s">
        <v>177</v>
      </c>
      <c r="C34" s="239" t="s">
        <v>113</v>
      </c>
      <c r="D34" s="3"/>
      <c r="E34" s="240" t="s">
        <v>2</v>
      </c>
      <c r="F34" s="248"/>
    </row>
    <row r="35" spans="1:6" ht="14.25" customHeight="1">
      <c r="A35" s="226"/>
      <c r="B35" s="238" t="s">
        <v>178</v>
      </c>
      <c r="C35" s="239" t="s">
        <v>9</v>
      </c>
      <c r="D35" s="3"/>
      <c r="E35" s="240" t="s">
        <v>3</v>
      </c>
      <c r="F35" s="248"/>
    </row>
    <row r="36" spans="1:6" ht="14.25" customHeight="1">
      <c r="A36" s="226"/>
      <c r="B36" s="238" t="s">
        <v>179</v>
      </c>
      <c r="C36" s="239" t="s">
        <v>51</v>
      </c>
      <c r="D36" s="3"/>
      <c r="E36" s="240" t="s">
        <v>2</v>
      </c>
      <c r="F36" s="248"/>
    </row>
    <row r="37" spans="1:6" ht="14.25" customHeight="1">
      <c r="A37" s="228"/>
      <c r="B37" s="238" t="s">
        <v>410</v>
      </c>
      <c r="C37" s="239" t="s">
        <v>36</v>
      </c>
      <c r="D37" s="427"/>
      <c r="E37" s="240"/>
      <c r="F37" s="248"/>
    </row>
    <row r="38" spans="1:6" ht="14.25" customHeight="1">
      <c r="A38" s="229"/>
      <c r="B38" s="238" t="s">
        <v>121</v>
      </c>
      <c r="C38" s="239" t="s">
        <v>122</v>
      </c>
      <c r="D38" s="4"/>
      <c r="E38" s="249"/>
      <c r="F38" s="248"/>
    </row>
    <row r="39" spans="1:6" ht="14.25" customHeight="1">
      <c r="A39" s="230"/>
      <c r="B39" s="250" t="s">
        <v>181</v>
      </c>
      <c r="C39" s="239" t="s">
        <v>377</v>
      </c>
      <c r="D39" s="5"/>
      <c r="E39" s="240"/>
      <c r="F39" s="248"/>
    </row>
    <row r="40" spans="1:6" ht="14.25" customHeight="1">
      <c r="A40" s="229"/>
      <c r="B40" s="238" t="s">
        <v>131</v>
      </c>
      <c r="C40" s="239" t="s">
        <v>127</v>
      </c>
      <c r="D40" s="6"/>
      <c r="E40" s="240" t="s">
        <v>3</v>
      </c>
      <c r="F40" s="248"/>
    </row>
    <row r="41" spans="1:6" ht="14.25" customHeight="1">
      <c r="A41" s="231"/>
      <c r="B41" s="251" t="s">
        <v>128</v>
      </c>
      <c r="C41" s="252" t="s">
        <v>130</v>
      </c>
      <c r="D41" s="23"/>
      <c r="E41" s="253"/>
      <c r="F41" s="248"/>
    </row>
    <row r="42" spans="1:6" ht="14.25" customHeight="1">
      <c r="A42" s="231"/>
      <c r="B42" s="251" t="s">
        <v>123</v>
      </c>
      <c r="C42" s="242" t="s">
        <v>378</v>
      </c>
      <c r="D42" s="23"/>
      <c r="E42" s="253"/>
      <c r="F42" s="248"/>
    </row>
    <row r="43" spans="1:6" ht="14.25" customHeight="1">
      <c r="A43" s="225"/>
      <c r="B43" s="238" t="s">
        <v>194</v>
      </c>
      <c r="C43" s="239" t="s">
        <v>195</v>
      </c>
      <c r="D43" s="4"/>
      <c r="E43" s="240" t="s">
        <v>2</v>
      </c>
      <c r="F43" s="248"/>
    </row>
    <row r="44" spans="1:6" ht="14.25" customHeight="1">
      <c r="A44" s="231"/>
      <c r="B44" s="241" t="s">
        <v>129</v>
      </c>
      <c r="C44" s="242" t="s">
        <v>102</v>
      </c>
      <c r="D44" s="72"/>
      <c r="E44" s="243" t="s">
        <v>4</v>
      </c>
      <c r="F44" s="248"/>
    </row>
    <row r="45" spans="1:6" ht="9" customHeight="1" thickBot="1">
      <c r="A45" s="231"/>
      <c r="B45" s="254"/>
      <c r="C45" s="255"/>
      <c r="D45" s="256"/>
      <c r="E45" s="257"/>
      <c r="F45" s="248"/>
    </row>
    <row r="46" spans="1:6" ht="15.75" customHeight="1" thickTop="1">
      <c r="A46" s="232"/>
      <c r="B46" s="258"/>
      <c r="C46" s="258"/>
      <c r="D46" s="259"/>
      <c r="E46" s="258"/>
      <c r="F46" s="248"/>
    </row>
    <row r="47" spans="1:6" ht="15.75" customHeight="1">
      <c r="A47" s="605"/>
      <c r="B47" s="605"/>
      <c r="C47" s="605"/>
      <c r="D47" s="605"/>
      <c r="E47" s="605"/>
      <c r="F47" s="605"/>
    </row>
    <row r="48" spans="1:6" s="260" customFormat="1" ht="31.5" customHeight="1">
      <c r="A48" s="606"/>
      <c r="B48" s="606"/>
      <c r="C48" s="606"/>
      <c r="D48" s="606"/>
      <c r="E48" s="606"/>
      <c r="F48" s="606"/>
    </row>
    <row r="49" spans="1:6" ht="48" customHeight="1">
      <c r="A49" s="606"/>
      <c r="B49" s="606"/>
      <c r="C49" s="606"/>
      <c r="D49" s="606"/>
      <c r="E49" s="606"/>
      <c r="F49" s="606"/>
    </row>
    <row r="50" spans="1:6" s="260" customFormat="1" ht="31.5" customHeight="1">
      <c r="A50" s="606"/>
      <c r="B50" s="606"/>
      <c r="C50" s="606"/>
      <c r="D50" s="606"/>
      <c r="E50" s="606"/>
      <c r="F50" s="606"/>
    </row>
    <row r="51" spans="1:6" ht="14.25" customHeight="1" thickBot="1">
      <c r="A51" s="226"/>
      <c r="B51" s="600" t="s">
        <v>64</v>
      </c>
      <c r="C51" s="600"/>
      <c r="D51" s="600"/>
      <c r="E51" s="234"/>
      <c r="F51" s="234"/>
    </row>
    <row r="52" spans="2:4" ht="14.25" customHeight="1" thickTop="1">
      <c r="B52" s="261" t="s">
        <v>132</v>
      </c>
      <c r="C52" s="262" t="s">
        <v>65</v>
      </c>
      <c r="D52" s="263" t="s">
        <v>66</v>
      </c>
    </row>
    <row r="53" spans="2:4" ht="14.25" customHeight="1">
      <c r="B53" s="264" t="s">
        <v>397</v>
      </c>
      <c r="C53" s="265" t="s">
        <v>67</v>
      </c>
      <c r="D53" s="266" t="s">
        <v>72</v>
      </c>
    </row>
    <row r="54" spans="2:4" ht="14.25" customHeight="1">
      <c r="B54" s="264" t="s">
        <v>398</v>
      </c>
      <c r="C54" s="265" t="s">
        <v>68</v>
      </c>
      <c r="D54" s="266" t="s">
        <v>73</v>
      </c>
    </row>
    <row r="55" spans="2:4" ht="14.25" customHeight="1">
      <c r="B55" s="264" t="s">
        <v>399</v>
      </c>
      <c r="C55" s="265" t="s">
        <v>69</v>
      </c>
      <c r="D55" s="266" t="s">
        <v>74</v>
      </c>
    </row>
    <row r="56" spans="2:4" ht="14.25" customHeight="1">
      <c r="B56" s="264" t="s">
        <v>400</v>
      </c>
      <c r="C56" s="265" t="s">
        <v>70</v>
      </c>
      <c r="D56" s="266" t="s">
        <v>75</v>
      </c>
    </row>
    <row r="57" spans="2:4" ht="14.25" customHeight="1" thickBot="1">
      <c r="B57" s="267" t="s">
        <v>401</v>
      </c>
      <c r="C57" s="268" t="s">
        <v>71</v>
      </c>
      <c r="D57" s="269" t="s">
        <v>76</v>
      </c>
    </row>
    <row r="58" ht="13.5" thickTop="1"/>
  </sheetData>
  <sheetProtection password="D2C3" sheet="1" objects="1" scenarios="1" formatCells="0" formatColumns="0" formatRows="0"/>
  <mergeCells count="8">
    <mergeCell ref="B51:D51"/>
    <mergeCell ref="B2:E2"/>
    <mergeCell ref="B4:E4"/>
    <mergeCell ref="B5:E5"/>
    <mergeCell ref="A47:F47"/>
    <mergeCell ref="A48:F48"/>
    <mergeCell ref="A49:F49"/>
    <mergeCell ref="A50:F50"/>
  </mergeCells>
  <printOptions horizontalCentered="1"/>
  <pageMargins left="0.75" right="0.5" top="0.75" bottom="0.75" header="0.5" footer="0.5"/>
  <pageSetup fitToHeight="1" fitToWidth="1" horizontalDpi="300" verticalDpi="300" orientation="portrait" scale="81" r:id="rId3"/>
  <headerFooter alignWithMargins="0">
    <oddFooter>&amp;L&amp;F, &amp;A&amp;R&amp;D, &amp;T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2:BF279"/>
  <sheetViews>
    <sheetView showGridLines="0" zoomScale="75" zoomScaleNormal="75" workbookViewId="0" topLeftCell="A1">
      <selection activeCell="B2" sqref="B2:I2"/>
    </sheetView>
  </sheetViews>
  <sheetFormatPr defaultColWidth="9.140625" defaultRowHeight="12.75"/>
  <cols>
    <col min="1" max="1" width="13.00390625" style="275" customWidth="1"/>
    <col min="2" max="2" width="35.8515625" style="276" customWidth="1"/>
    <col min="3" max="3" width="11.140625" style="63" customWidth="1"/>
    <col min="4" max="4" width="11.421875" style="63" customWidth="1"/>
    <col min="5" max="5" width="6.28125" style="63" customWidth="1"/>
    <col min="6" max="6" width="31.00390625" style="63" customWidth="1"/>
    <col min="7" max="8" width="9.140625" style="63" customWidth="1"/>
    <col min="9" max="9" width="14.00390625" style="63" customWidth="1"/>
    <col min="10" max="52" width="9.140625" style="63" customWidth="1"/>
    <col min="53" max="53" width="11.140625" style="141" bestFit="1" customWidth="1"/>
    <col min="54" max="54" width="9.140625" style="142" customWidth="1"/>
    <col min="55" max="16384" width="9.140625" style="63" customWidth="1"/>
  </cols>
  <sheetData>
    <row r="1" ht="13.5" thickBot="1"/>
    <row r="2" spans="1:9" ht="30" customHeight="1" thickBot="1" thickTop="1">
      <c r="A2" s="89"/>
      <c r="B2" s="609" t="s">
        <v>402</v>
      </c>
      <c r="C2" s="610"/>
      <c r="D2" s="610"/>
      <c r="E2" s="610"/>
      <c r="F2" s="610"/>
      <c r="G2" s="610"/>
      <c r="H2" s="610"/>
      <c r="I2" s="611"/>
    </row>
    <row r="3" spans="1:9" ht="19.5" customHeight="1" thickTop="1">
      <c r="A3" s="89"/>
      <c r="B3" s="90"/>
      <c r="C3" s="81"/>
      <c r="D3" s="81"/>
      <c r="E3" s="81"/>
      <c r="F3" s="81"/>
      <c r="G3" s="81"/>
      <c r="H3" s="81"/>
      <c r="I3" s="81"/>
    </row>
    <row r="4" spans="1:9" ht="19.5" customHeight="1">
      <c r="A4" s="91" t="s">
        <v>375</v>
      </c>
      <c r="B4" s="607"/>
      <c r="C4" s="607"/>
      <c r="D4" s="607"/>
      <c r="E4" s="607"/>
      <c r="F4" s="607"/>
      <c r="G4" s="607"/>
      <c r="H4" s="607"/>
      <c r="I4" s="607"/>
    </row>
    <row r="5" spans="1:9" ht="19.5" customHeight="1">
      <c r="A5" s="91" t="s">
        <v>376</v>
      </c>
      <c r="B5" s="608"/>
      <c r="C5" s="608"/>
      <c r="D5" s="608"/>
      <c r="E5" s="608"/>
      <c r="F5" s="608"/>
      <c r="G5" s="608"/>
      <c r="H5" s="608"/>
      <c r="I5" s="608"/>
    </row>
    <row r="6" spans="1:9" ht="15" customHeight="1">
      <c r="A6" s="92"/>
      <c r="B6" s="93"/>
      <c r="C6" s="94"/>
      <c r="D6" s="94"/>
      <c r="E6" s="94"/>
      <c r="F6" s="94"/>
      <c r="G6" s="94"/>
      <c r="H6" s="81"/>
      <c r="I6" s="81"/>
    </row>
    <row r="7" spans="1:9" ht="15" customHeight="1">
      <c r="A7" s="92"/>
      <c r="B7" s="93"/>
      <c r="C7" s="94"/>
      <c r="D7" s="94"/>
      <c r="E7" s="94"/>
      <c r="F7" s="94"/>
      <c r="G7" s="94"/>
      <c r="H7" s="81"/>
      <c r="I7" s="81"/>
    </row>
    <row r="8" spans="1:9" ht="15" customHeight="1">
      <c r="A8" s="92"/>
      <c r="B8" s="93"/>
      <c r="C8" s="94"/>
      <c r="D8" s="94"/>
      <c r="E8" s="94"/>
      <c r="F8" s="94"/>
      <c r="G8" s="94"/>
      <c r="H8" s="81"/>
      <c r="I8" s="81"/>
    </row>
    <row r="9" spans="1:9" ht="15" customHeight="1">
      <c r="A9" s="92"/>
      <c r="B9" s="93"/>
      <c r="C9" s="94"/>
      <c r="D9" s="94"/>
      <c r="E9" s="94"/>
      <c r="F9" s="94"/>
      <c r="G9" s="94"/>
      <c r="H9" s="81"/>
      <c r="I9" s="81"/>
    </row>
    <row r="10" spans="1:9" ht="15" customHeight="1">
      <c r="A10" s="92"/>
      <c r="B10" s="93"/>
      <c r="C10" s="94"/>
      <c r="D10" s="94"/>
      <c r="E10" s="94"/>
      <c r="F10" s="94"/>
      <c r="G10" s="94"/>
      <c r="H10" s="81"/>
      <c r="I10" s="81"/>
    </row>
    <row r="11" spans="1:9" ht="15" customHeight="1">
      <c r="A11" s="92"/>
      <c r="B11" s="93"/>
      <c r="C11" s="94"/>
      <c r="D11" s="94"/>
      <c r="E11" s="94"/>
      <c r="F11" s="94"/>
      <c r="G11" s="94"/>
      <c r="H11" s="81"/>
      <c r="I11" s="81"/>
    </row>
    <row r="12" spans="1:9" ht="15" customHeight="1">
      <c r="A12" s="92"/>
      <c r="B12" s="93"/>
      <c r="C12" s="94"/>
      <c r="D12" s="94"/>
      <c r="E12" s="94"/>
      <c r="F12" s="94"/>
      <c r="G12" s="94"/>
      <c r="H12" s="81"/>
      <c r="I12" s="81"/>
    </row>
    <row r="13" spans="1:9" ht="15" customHeight="1">
      <c r="A13" s="92"/>
      <c r="B13" s="95"/>
      <c r="C13" s="81"/>
      <c r="D13" s="81"/>
      <c r="E13" s="81"/>
      <c r="F13" s="81"/>
      <c r="G13" s="81"/>
      <c r="H13" s="81"/>
      <c r="I13" s="81"/>
    </row>
    <row r="14" spans="1:9" ht="15" customHeight="1">
      <c r="A14" s="92"/>
      <c r="B14" s="95"/>
      <c r="C14" s="81"/>
      <c r="D14" s="81"/>
      <c r="E14" s="81"/>
      <c r="F14" s="81"/>
      <c r="G14" s="81"/>
      <c r="H14" s="81"/>
      <c r="I14" s="81"/>
    </row>
    <row r="15" spans="1:9" ht="15" customHeight="1">
      <c r="A15" s="92"/>
      <c r="B15" s="95"/>
      <c r="C15" s="81"/>
      <c r="D15" s="81"/>
      <c r="E15" s="81"/>
      <c r="F15" s="81"/>
      <c r="G15" s="81"/>
      <c r="H15" s="81"/>
      <c r="I15" s="81"/>
    </row>
    <row r="16" spans="1:9" ht="15" customHeight="1">
      <c r="A16" s="92"/>
      <c r="B16" s="95"/>
      <c r="C16" s="81"/>
      <c r="D16" s="81"/>
      <c r="E16" s="81"/>
      <c r="F16" s="81"/>
      <c r="G16" s="81"/>
      <c r="H16" s="81"/>
      <c r="I16" s="81"/>
    </row>
    <row r="17" spans="1:9" ht="15" customHeight="1">
      <c r="A17" s="92"/>
      <c r="B17" s="96"/>
      <c r="C17" s="97"/>
      <c r="D17" s="97"/>
      <c r="E17" s="97"/>
      <c r="F17" s="97"/>
      <c r="G17" s="81"/>
      <c r="H17" s="81"/>
      <c r="I17" s="81"/>
    </row>
    <row r="18" spans="1:58" ht="15" customHeight="1">
      <c r="A18" s="98"/>
      <c r="B18" s="99"/>
      <c r="C18" s="99"/>
      <c r="D18" s="99"/>
      <c r="E18" s="99"/>
      <c r="F18" s="81"/>
      <c r="G18" s="97"/>
      <c r="H18" s="97"/>
      <c r="I18" s="97"/>
      <c r="J18" s="51"/>
      <c r="BA18" s="63"/>
      <c r="BB18" s="63"/>
      <c r="BE18" s="141"/>
      <c r="BF18" s="142"/>
    </row>
    <row r="19" spans="1:58" ht="15" customHeight="1">
      <c r="A19" s="98"/>
      <c r="B19" s="99"/>
      <c r="C19" s="99"/>
      <c r="D19" s="99"/>
      <c r="E19" s="99"/>
      <c r="F19" s="81"/>
      <c r="G19" s="81"/>
      <c r="H19" s="81"/>
      <c r="I19" s="81"/>
      <c r="J19" s="51"/>
      <c r="BA19" s="63"/>
      <c r="BB19" s="63"/>
      <c r="BE19" s="141"/>
      <c r="BF19" s="142"/>
    </row>
    <row r="20" spans="1:58" ht="13.5" thickBot="1">
      <c r="A20" s="98"/>
      <c r="B20" s="99"/>
      <c r="C20" s="99"/>
      <c r="D20" s="99"/>
      <c r="E20" s="99"/>
      <c r="F20" s="81"/>
      <c r="G20" s="81"/>
      <c r="H20" s="81"/>
      <c r="I20" s="81"/>
      <c r="J20" s="51"/>
      <c r="BA20" s="63"/>
      <c r="BB20" s="63"/>
      <c r="BE20" s="141"/>
      <c r="BF20" s="142"/>
    </row>
    <row r="21" spans="1:58" ht="12" customHeight="1" thickTop="1">
      <c r="A21" s="98"/>
      <c r="B21" s="100"/>
      <c r="C21" s="101"/>
      <c r="D21" s="101"/>
      <c r="E21" s="101"/>
      <c r="F21" s="102"/>
      <c r="G21" s="102"/>
      <c r="H21" s="102"/>
      <c r="I21" s="103"/>
      <c r="J21" s="51"/>
      <c r="BA21" s="63"/>
      <c r="BB21" s="63"/>
      <c r="BE21" s="141"/>
      <c r="BF21" s="142"/>
    </row>
    <row r="22" spans="1:58" ht="14.25" customHeight="1">
      <c r="A22" s="98"/>
      <c r="B22" s="104" t="s">
        <v>107</v>
      </c>
      <c r="C22" s="105"/>
      <c r="D22" s="105"/>
      <c r="E22" s="105"/>
      <c r="F22" s="97"/>
      <c r="G22" s="106"/>
      <c r="H22" s="107"/>
      <c r="I22" s="108"/>
      <c r="J22" s="51"/>
      <c r="L22" s="145"/>
      <c r="BA22" s="63"/>
      <c r="BB22" s="63"/>
      <c r="BE22" s="141"/>
      <c r="BF22" s="142"/>
    </row>
    <row r="23" spans="1:58" ht="14.25" customHeight="1">
      <c r="A23" s="98"/>
      <c r="B23" s="109" t="s">
        <v>306</v>
      </c>
      <c r="C23" s="106" t="s">
        <v>217</v>
      </c>
      <c r="D23" s="36"/>
      <c r="E23" s="97" t="s">
        <v>4</v>
      </c>
      <c r="F23" s="107"/>
      <c r="G23" s="107"/>
      <c r="H23" s="107"/>
      <c r="I23" s="110"/>
      <c r="J23" s="51"/>
      <c r="BA23" s="63"/>
      <c r="BB23" s="63"/>
      <c r="BE23" s="141"/>
      <c r="BF23" s="142"/>
    </row>
    <row r="24" spans="1:58" ht="14.25" customHeight="1">
      <c r="A24" s="111"/>
      <c r="B24" s="109" t="s">
        <v>307</v>
      </c>
      <c r="C24" s="106" t="s">
        <v>218</v>
      </c>
      <c r="D24" s="36"/>
      <c r="E24" s="97" t="s">
        <v>4</v>
      </c>
      <c r="F24" s="112" t="s">
        <v>214</v>
      </c>
      <c r="G24" s="97"/>
      <c r="H24" s="97"/>
      <c r="I24" s="108"/>
      <c r="J24" s="51"/>
      <c r="BA24" s="63"/>
      <c r="BB24" s="63"/>
      <c r="BE24" s="141"/>
      <c r="BF24" s="142"/>
    </row>
    <row r="25" spans="1:58" ht="14.25" customHeight="1">
      <c r="A25" s="113">
        <f>$BB$204</f>
      </c>
      <c r="B25" s="109" t="s">
        <v>207</v>
      </c>
      <c r="C25" s="106" t="s">
        <v>209</v>
      </c>
      <c r="D25" s="36"/>
      <c r="E25" s="97" t="s">
        <v>4</v>
      </c>
      <c r="F25" s="97"/>
      <c r="G25" s="106" t="s">
        <v>215</v>
      </c>
      <c r="H25" s="31"/>
      <c r="I25" s="108" t="s">
        <v>148</v>
      </c>
      <c r="J25" s="51"/>
      <c r="BA25" s="63"/>
      <c r="BB25" s="63"/>
      <c r="BE25" s="141"/>
      <c r="BF25" s="142"/>
    </row>
    <row r="26" spans="1:58" ht="14.25" customHeight="1">
      <c r="A26" s="113"/>
      <c r="B26" s="109" t="s">
        <v>205</v>
      </c>
      <c r="C26" s="106" t="s">
        <v>18</v>
      </c>
      <c r="D26" s="37"/>
      <c r="E26" s="97" t="s">
        <v>1</v>
      </c>
      <c r="F26" s="97"/>
      <c r="G26" s="106" t="s">
        <v>308</v>
      </c>
      <c r="H26" s="32"/>
      <c r="I26" s="108" t="s">
        <v>149</v>
      </c>
      <c r="J26" s="51"/>
      <c r="K26" s="56"/>
      <c r="BA26" s="63"/>
      <c r="BB26" s="63"/>
      <c r="BE26" s="141"/>
      <c r="BF26" s="142"/>
    </row>
    <row r="27" spans="1:58" ht="14.25" customHeight="1">
      <c r="A27" s="113"/>
      <c r="B27" s="109" t="s">
        <v>206</v>
      </c>
      <c r="C27" s="106" t="s">
        <v>20</v>
      </c>
      <c r="D27" s="37"/>
      <c r="E27" s="97" t="s">
        <v>1</v>
      </c>
      <c r="F27" s="107"/>
      <c r="G27" s="107"/>
      <c r="H27" s="107"/>
      <c r="I27" s="110"/>
      <c r="J27" s="51"/>
      <c r="K27" s="56"/>
      <c r="BA27" s="63"/>
      <c r="BB27" s="63"/>
      <c r="BE27" s="141"/>
      <c r="BF27" s="142"/>
    </row>
    <row r="28" spans="1:58" ht="14.25" customHeight="1">
      <c r="A28" s="113">
        <f>$BB$207</f>
      </c>
      <c r="B28" s="109" t="s">
        <v>202</v>
      </c>
      <c r="C28" s="106" t="s">
        <v>295</v>
      </c>
      <c r="D28" s="38"/>
      <c r="E28" s="97" t="s">
        <v>2</v>
      </c>
      <c r="F28" s="97"/>
      <c r="G28" s="106" t="s">
        <v>361</v>
      </c>
      <c r="H28" s="107"/>
      <c r="I28" s="110"/>
      <c r="J28" s="51"/>
      <c r="K28" s="56"/>
      <c r="BA28" s="63"/>
      <c r="BB28" s="63"/>
      <c r="BE28" s="141"/>
      <c r="BF28" s="142"/>
    </row>
    <row r="29" spans="1:58" ht="14.25" customHeight="1">
      <c r="A29" s="113">
        <f>$BB$208</f>
      </c>
      <c r="B29" s="109" t="s">
        <v>90</v>
      </c>
      <c r="C29" s="106" t="s">
        <v>294</v>
      </c>
      <c r="D29" s="37"/>
      <c r="E29" s="97" t="s">
        <v>1</v>
      </c>
      <c r="F29" s="107"/>
      <c r="G29" s="106" t="s">
        <v>362</v>
      </c>
      <c r="H29" s="274"/>
      <c r="I29" s="108" t="s">
        <v>363</v>
      </c>
      <c r="J29" s="51"/>
      <c r="K29" s="56"/>
      <c r="BA29" s="63"/>
      <c r="BB29" s="63"/>
      <c r="BE29" s="141"/>
      <c r="BF29" s="142"/>
    </row>
    <row r="30" spans="1:58" ht="14.25" customHeight="1">
      <c r="A30" s="113">
        <f>$BB$209</f>
      </c>
      <c r="B30" s="109" t="s">
        <v>418</v>
      </c>
      <c r="C30" s="106" t="s">
        <v>419</v>
      </c>
      <c r="D30" s="39"/>
      <c r="E30" s="97"/>
      <c r="F30" s="81"/>
      <c r="G30" s="81"/>
      <c r="H30" s="81"/>
      <c r="I30" s="108"/>
      <c r="J30" s="51"/>
      <c r="K30" s="56"/>
      <c r="BA30" s="63"/>
      <c r="BB30" s="63"/>
      <c r="BE30" s="141"/>
      <c r="BF30" s="142"/>
    </row>
    <row r="31" spans="1:58" ht="14.25" customHeight="1">
      <c r="A31" s="113">
        <f>$BB$210</f>
      </c>
      <c r="B31" s="109" t="s">
        <v>93</v>
      </c>
      <c r="C31" s="106" t="s">
        <v>292</v>
      </c>
      <c r="D31" s="37"/>
      <c r="E31" s="97" t="s">
        <v>1</v>
      </c>
      <c r="F31" s="112" t="s">
        <v>145</v>
      </c>
      <c r="G31" s="97"/>
      <c r="H31" s="97"/>
      <c r="I31" s="108"/>
      <c r="J31" s="51"/>
      <c r="K31" s="56"/>
      <c r="BA31" s="63"/>
      <c r="BB31" s="63"/>
      <c r="BE31" s="141"/>
      <c r="BF31" s="142"/>
    </row>
    <row r="32" spans="1:58" ht="14.25" customHeight="1">
      <c r="A32" s="113">
        <f>$BB$211</f>
      </c>
      <c r="B32" s="109" t="s">
        <v>417</v>
      </c>
      <c r="C32" s="106" t="s">
        <v>420</v>
      </c>
      <c r="D32" s="39"/>
      <c r="E32" s="97"/>
      <c r="F32" s="97"/>
      <c r="G32" s="106" t="s">
        <v>146</v>
      </c>
      <c r="H32" s="31"/>
      <c r="I32" s="108" t="s">
        <v>148</v>
      </c>
      <c r="J32" s="51"/>
      <c r="K32" s="56"/>
      <c r="BA32" s="63"/>
      <c r="BB32" s="63"/>
      <c r="BE32" s="141"/>
      <c r="BF32" s="142"/>
    </row>
    <row r="33" spans="1:58" ht="14.25" customHeight="1">
      <c r="A33" s="113"/>
      <c r="B33" s="114" t="s">
        <v>357</v>
      </c>
      <c r="C33" s="106" t="s">
        <v>333</v>
      </c>
      <c r="D33" s="40"/>
      <c r="E33" s="97" t="s">
        <v>2</v>
      </c>
      <c r="F33" s="97"/>
      <c r="G33" s="106" t="s">
        <v>147</v>
      </c>
      <c r="H33" s="32"/>
      <c r="I33" s="108" t="s">
        <v>149</v>
      </c>
      <c r="J33" s="51"/>
      <c r="K33" s="56"/>
      <c r="BA33" s="63"/>
      <c r="BB33" s="63"/>
      <c r="BE33" s="141"/>
      <c r="BF33" s="142"/>
    </row>
    <row r="34" spans="1:58" ht="12" customHeight="1" thickBot="1">
      <c r="A34" s="113"/>
      <c r="B34" s="115"/>
      <c r="C34" s="116"/>
      <c r="D34" s="116"/>
      <c r="E34" s="116"/>
      <c r="F34" s="107"/>
      <c r="G34" s="107"/>
      <c r="H34" s="107"/>
      <c r="I34" s="110"/>
      <c r="J34" s="51"/>
      <c r="K34" s="56"/>
      <c r="L34" s="56"/>
      <c r="BA34" s="63"/>
      <c r="BB34" s="63"/>
      <c r="BE34" s="141"/>
      <c r="BF34" s="142"/>
    </row>
    <row r="35" spans="1:58" ht="12" customHeight="1" thickTop="1">
      <c r="A35" s="113"/>
      <c r="B35" s="117"/>
      <c r="C35" s="118"/>
      <c r="D35" s="119"/>
      <c r="E35" s="118"/>
      <c r="F35" s="102"/>
      <c r="G35" s="102"/>
      <c r="H35" s="102"/>
      <c r="I35" s="103"/>
      <c r="J35" s="51"/>
      <c r="K35" s="56"/>
      <c r="L35" s="56"/>
      <c r="BA35" s="63"/>
      <c r="BB35" s="63"/>
      <c r="BE35" s="141"/>
      <c r="BF35" s="142"/>
    </row>
    <row r="36" spans="1:58" ht="14.25" customHeight="1">
      <c r="A36" s="113"/>
      <c r="B36" s="104" t="s">
        <v>133</v>
      </c>
      <c r="C36" s="97"/>
      <c r="D36" s="120"/>
      <c r="E36" s="97"/>
      <c r="F36" s="107"/>
      <c r="G36" s="107"/>
      <c r="H36" s="107"/>
      <c r="I36" s="110"/>
      <c r="J36" s="51"/>
      <c r="K36" s="56"/>
      <c r="L36" s="56"/>
      <c r="BA36" s="63"/>
      <c r="BB36" s="63"/>
      <c r="BE36" s="141"/>
      <c r="BF36" s="142"/>
    </row>
    <row r="37" spans="1:58" ht="14.25" customHeight="1">
      <c r="A37" s="113"/>
      <c r="B37" s="114" t="s">
        <v>12</v>
      </c>
      <c r="C37" s="121" t="s">
        <v>11</v>
      </c>
      <c r="D37" s="20">
        <f>IF($BA$215="","",$BA$215)</f>
      </c>
      <c r="E37" s="112" t="s">
        <v>1</v>
      </c>
      <c r="F37" s="107"/>
      <c r="G37" s="107"/>
      <c r="H37" s="107"/>
      <c r="I37" s="110"/>
      <c r="J37" s="51"/>
      <c r="BA37" s="63"/>
      <c r="BB37" s="63"/>
      <c r="BE37" s="141"/>
      <c r="BF37" s="142"/>
    </row>
    <row r="38" spans="1:58" ht="12" customHeight="1">
      <c r="A38" s="113"/>
      <c r="B38" s="109"/>
      <c r="C38" s="106"/>
      <c r="D38" s="81"/>
      <c r="E38" s="97"/>
      <c r="F38" s="107"/>
      <c r="G38" s="107"/>
      <c r="H38" s="107"/>
      <c r="I38" s="110"/>
      <c r="J38" s="51"/>
      <c r="BA38" s="63"/>
      <c r="BB38" s="63"/>
      <c r="BE38" s="141"/>
      <c r="BF38" s="142"/>
    </row>
    <row r="39" spans="1:58" ht="14.25" customHeight="1">
      <c r="A39" s="113"/>
      <c r="B39" s="114" t="s">
        <v>208</v>
      </c>
      <c r="C39" s="106"/>
      <c r="D39" s="120"/>
      <c r="E39" s="97"/>
      <c r="F39" s="122" t="s">
        <v>203</v>
      </c>
      <c r="G39" s="97"/>
      <c r="H39" s="120"/>
      <c r="I39" s="108"/>
      <c r="J39" s="51"/>
      <c r="BA39" s="63"/>
      <c r="BB39" s="63"/>
      <c r="BE39" s="141"/>
      <c r="BF39" s="142"/>
    </row>
    <row r="40" spans="1:58" ht="14.25" customHeight="1">
      <c r="A40" s="113"/>
      <c r="B40" s="109" t="s">
        <v>309</v>
      </c>
      <c r="C40" s="106" t="s">
        <v>210</v>
      </c>
      <c r="D40" s="9">
        <f>IF($BA$216="","",$BA$216)</f>
      </c>
      <c r="E40" s="97" t="s">
        <v>16</v>
      </c>
      <c r="F40" s="123" t="s">
        <v>204</v>
      </c>
      <c r="G40" s="106" t="s">
        <v>191</v>
      </c>
      <c r="H40" s="9">
        <f>IF($BA$224="","",$BA$224)</f>
      </c>
      <c r="I40" s="108" t="s">
        <v>16</v>
      </c>
      <c r="J40" s="51"/>
      <c r="BA40" s="63"/>
      <c r="BB40" s="63"/>
      <c r="BE40" s="141"/>
      <c r="BF40" s="142"/>
    </row>
    <row r="41" spans="1:58" ht="14.25" customHeight="1">
      <c r="A41" s="113"/>
      <c r="B41" s="109" t="s">
        <v>360</v>
      </c>
      <c r="C41" s="106" t="s">
        <v>211</v>
      </c>
      <c r="D41" s="10">
        <f>IF($BA$217="","",$BA$217)</f>
      </c>
      <c r="E41" s="97" t="s">
        <v>16</v>
      </c>
      <c r="F41" s="123" t="s">
        <v>99</v>
      </c>
      <c r="G41" s="106" t="s">
        <v>100</v>
      </c>
      <c r="H41" s="9">
        <f>IF($BA$225="","",$BA$225)</f>
      </c>
      <c r="I41" s="108" t="s">
        <v>2</v>
      </c>
      <c r="J41" s="283"/>
      <c r="K41" s="56"/>
      <c r="L41" s="51"/>
      <c r="BA41" s="63"/>
      <c r="BB41" s="63"/>
      <c r="BE41" s="141"/>
      <c r="BF41" s="142"/>
    </row>
    <row r="42" spans="1:58" ht="14.25" customHeight="1">
      <c r="A42" s="113"/>
      <c r="B42" s="109" t="s">
        <v>99</v>
      </c>
      <c r="C42" s="106" t="s">
        <v>212</v>
      </c>
      <c r="D42" s="9">
        <f>IF($BA$218="","",$BA$218)</f>
      </c>
      <c r="E42" s="97" t="s">
        <v>2</v>
      </c>
      <c r="F42" s="123" t="s">
        <v>97</v>
      </c>
      <c r="G42" s="106" t="s">
        <v>297</v>
      </c>
      <c r="H42" s="11">
        <f>IF($BA$226="","",$BA$226)</f>
      </c>
      <c r="I42" s="108" t="s">
        <v>28</v>
      </c>
      <c r="J42" s="51"/>
      <c r="K42" s="56"/>
      <c r="BA42" s="63"/>
      <c r="BB42" s="63"/>
      <c r="BE42" s="141"/>
      <c r="BF42" s="142"/>
    </row>
    <row r="43" spans="1:58" ht="14.25" customHeight="1">
      <c r="A43" s="113"/>
      <c r="B43" s="109" t="s">
        <v>97</v>
      </c>
      <c r="C43" s="106" t="s">
        <v>290</v>
      </c>
      <c r="D43" s="11">
        <f>IF($BA$219="","",$BA$219)</f>
      </c>
      <c r="E43" s="97" t="s">
        <v>28</v>
      </c>
      <c r="F43" s="123" t="s">
        <v>98</v>
      </c>
      <c r="G43" s="106" t="s">
        <v>298</v>
      </c>
      <c r="H43" s="11">
        <f>IF($BA$227="","",$BA$227)</f>
      </c>
      <c r="I43" s="108" t="s">
        <v>2</v>
      </c>
      <c r="J43" s="51"/>
      <c r="L43" s="51"/>
      <c r="BA43" s="63"/>
      <c r="BB43" s="63"/>
      <c r="BE43" s="141"/>
      <c r="BF43" s="142"/>
    </row>
    <row r="44" spans="1:58" ht="14.25" customHeight="1">
      <c r="A44" s="113"/>
      <c r="B44" s="109" t="s">
        <v>98</v>
      </c>
      <c r="C44" s="106" t="s">
        <v>296</v>
      </c>
      <c r="D44" s="11">
        <f>IF($BA$220="","",$BA$220)</f>
      </c>
      <c r="E44" s="97" t="s">
        <v>2</v>
      </c>
      <c r="F44" s="123" t="s">
        <v>416</v>
      </c>
      <c r="G44" s="106" t="s">
        <v>422</v>
      </c>
      <c r="H44" s="12">
        <f>IF($BA$228="","",$BA$228)</f>
      </c>
      <c r="I44" s="108"/>
      <c r="J44" s="51"/>
      <c r="L44" s="51"/>
      <c r="BA44" s="63"/>
      <c r="BB44" s="63"/>
      <c r="BE44" s="141"/>
      <c r="BF44" s="142"/>
    </row>
    <row r="45" spans="1:58" ht="14.25" customHeight="1">
      <c r="A45" s="113"/>
      <c r="B45" s="109" t="s">
        <v>416</v>
      </c>
      <c r="C45" s="106" t="s">
        <v>421</v>
      </c>
      <c r="D45" s="12">
        <f>IF($BA$221="","",$BA$221)</f>
      </c>
      <c r="E45" s="97"/>
      <c r="F45" s="122" t="s">
        <v>23</v>
      </c>
      <c r="G45" s="121" t="s">
        <v>349</v>
      </c>
      <c r="H45" s="17">
        <f>IF($BA$264="","",$BA$264)</f>
      </c>
      <c r="I45" s="124" t="s">
        <v>4</v>
      </c>
      <c r="J45" s="51"/>
      <c r="L45" s="51"/>
      <c r="BA45" s="63"/>
      <c r="BB45" s="63"/>
      <c r="BE45" s="141"/>
      <c r="BF45" s="142"/>
    </row>
    <row r="46" spans="1:58" ht="14.25" customHeight="1">
      <c r="A46" s="113"/>
      <c r="B46" s="114" t="s">
        <v>310</v>
      </c>
      <c r="C46" s="121" t="s">
        <v>209</v>
      </c>
      <c r="D46" s="17">
        <f>IF($BA$222="","",$BA$222)</f>
      </c>
      <c r="E46" s="112" t="s">
        <v>4</v>
      </c>
      <c r="F46" s="123" t="s">
        <v>243</v>
      </c>
      <c r="G46" s="106" t="s">
        <v>244</v>
      </c>
      <c r="H46" s="11">
        <f>IF($BA$229="","",$BA$229)</f>
      </c>
      <c r="I46" s="108" t="s">
        <v>3</v>
      </c>
      <c r="J46" s="51"/>
      <c r="K46" s="56"/>
      <c r="BA46" s="63"/>
      <c r="BB46" s="63"/>
      <c r="BE46" s="141"/>
      <c r="BF46" s="142"/>
    </row>
    <row r="47" spans="1:58" ht="14.25" customHeight="1">
      <c r="A47" s="113"/>
      <c r="B47" s="109" t="s">
        <v>243</v>
      </c>
      <c r="C47" s="106" t="s">
        <v>404</v>
      </c>
      <c r="D47" s="11">
        <f>IF($BA$268="","",$BA$268)</f>
      </c>
      <c r="E47" s="97" t="s">
        <v>3</v>
      </c>
      <c r="F47" s="122" t="s">
        <v>101</v>
      </c>
      <c r="G47" s="121" t="s">
        <v>358</v>
      </c>
      <c r="H47" s="18">
        <f>IF($BA$276="","",$BA$276)</f>
      </c>
      <c r="I47" s="124"/>
      <c r="J47" s="51"/>
      <c r="BA47" s="63"/>
      <c r="BB47" s="63"/>
      <c r="BE47" s="141"/>
      <c r="BF47" s="142"/>
    </row>
    <row r="48" spans="1:58" ht="14.25" customHeight="1">
      <c r="A48" s="113"/>
      <c r="B48" s="109" t="s">
        <v>101</v>
      </c>
      <c r="C48" s="106" t="s">
        <v>213</v>
      </c>
      <c r="D48" s="13">
        <f>IF($BA$223="","",$BA$223)</f>
      </c>
      <c r="E48" s="97"/>
      <c r="F48" s="123" t="s">
        <v>288</v>
      </c>
      <c r="G48" s="106" t="s">
        <v>312</v>
      </c>
      <c r="H48" s="11">
        <f>IF($BA$255="","",$BA$255)</f>
      </c>
      <c r="I48" s="108" t="s">
        <v>3</v>
      </c>
      <c r="J48" s="51"/>
      <c r="BA48" s="63"/>
      <c r="BB48" s="63"/>
      <c r="BE48" s="141"/>
      <c r="BF48" s="142"/>
    </row>
    <row r="49" spans="1:58" ht="14.25" customHeight="1">
      <c r="A49" s="113"/>
      <c r="B49" s="115"/>
      <c r="C49" s="105"/>
      <c r="D49" s="116"/>
      <c r="E49" s="116"/>
      <c r="F49" s="123" t="s">
        <v>289</v>
      </c>
      <c r="G49" s="106" t="s">
        <v>313</v>
      </c>
      <c r="H49" s="11">
        <f>IF($BA$257="","",$BA$257)</f>
      </c>
      <c r="I49" s="108" t="s">
        <v>2</v>
      </c>
      <c r="J49" s="51"/>
      <c r="BA49" s="63"/>
      <c r="BB49" s="63"/>
      <c r="BE49" s="141"/>
      <c r="BF49" s="142"/>
    </row>
    <row r="50" spans="1:58" ht="12" customHeight="1">
      <c r="A50" s="113"/>
      <c r="B50" s="115"/>
      <c r="C50" s="105"/>
      <c r="D50" s="116"/>
      <c r="E50" s="116"/>
      <c r="F50" s="107"/>
      <c r="G50" s="125"/>
      <c r="H50" s="107"/>
      <c r="I50" s="110"/>
      <c r="J50" s="51"/>
      <c r="K50" s="56"/>
      <c r="BA50" s="63"/>
      <c r="BB50" s="63"/>
      <c r="BE50" s="141"/>
      <c r="BF50" s="142"/>
    </row>
    <row r="51" spans="1:58" ht="14.25" customHeight="1">
      <c r="A51" s="113"/>
      <c r="B51" s="114" t="s">
        <v>340</v>
      </c>
      <c r="C51" s="106"/>
      <c r="D51" s="120"/>
      <c r="E51" s="97"/>
      <c r="F51" s="122" t="s">
        <v>341</v>
      </c>
      <c r="G51" s="106"/>
      <c r="H51" s="120"/>
      <c r="I51" s="108"/>
      <c r="J51" s="51"/>
      <c r="BA51" s="63"/>
      <c r="BB51" s="63"/>
      <c r="BE51" s="141"/>
      <c r="BF51" s="142"/>
    </row>
    <row r="52" spans="1:58" ht="14.25" customHeight="1">
      <c r="A52" s="113"/>
      <c r="B52" s="109" t="s">
        <v>342</v>
      </c>
      <c r="C52" s="106" t="s">
        <v>319</v>
      </c>
      <c r="D52" s="9">
        <f>IF($BA$230="","",$BA$230)</f>
      </c>
      <c r="E52" s="97" t="s">
        <v>2</v>
      </c>
      <c r="F52" s="123" t="s">
        <v>342</v>
      </c>
      <c r="G52" s="106" t="s">
        <v>324</v>
      </c>
      <c r="H52" s="9">
        <f>IF($BA$235="","",$BA$235)</f>
      </c>
      <c r="I52" s="108" t="s">
        <v>2</v>
      </c>
      <c r="J52" s="51"/>
      <c r="BA52" s="63"/>
      <c r="BB52" s="63"/>
      <c r="BE52" s="141"/>
      <c r="BF52" s="142"/>
    </row>
    <row r="53" spans="1:58" ht="14.25" customHeight="1">
      <c r="A53" s="113"/>
      <c r="B53" s="109" t="s">
        <v>353</v>
      </c>
      <c r="C53" s="106" t="s">
        <v>348</v>
      </c>
      <c r="D53" s="11">
        <f>IF($BA$272="","",$BA$272)</f>
      </c>
      <c r="E53" s="97" t="s">
        <v>2</v>
      </c>
      <c r="F53" s="123" t="s">
        <v>353</v>
      </c>
      <c r="G53" s="106" t="s">
        <v>347</v>
      </c>
      <c r="H53" s="11">
        <f>IF($BA$272="","",$BA$272)</f>
      </c>
      <c r="I53" s="108" t="s">
        <v>2</v>
      </c>
      <c r="J53" s="51"/>
      <c r="BA53" s="63"/>
      <c r="BB53" s="63"/>
      <c r="BE53" s="141"/>
      <c r="BF53" s="142"/>
    </row>
    <row r="54" spans="1:58" ht="14.25" customHeight="1">
      <c r="A54" s="113"/>
      <c r="B54" s="109" t="s">
        <v>99</v>
      </c>
      <c r="C54" s="106" t="s">
        <v>318</v>
      </c>
      <c r="D54" s="9">
        <f>IF($BA$231="","",$BA$231)</f>
      </c>
      <c r="E54" s="97" t="s">
        <v>2</v>
      </c>
      <c r="F54" s="123" t="s">
        <v>99</v>
      </c>
      <c r="G54" s="106" t="s">
        <v>325</v>
      </c>
      <c r="H54" s="9">
        <f>IF($BA$236="","",$BA$236)</f>
      </c>
      <c r="I54" s="108" t="s">
        <v>2</v>
      </c>
      <c r="J54" s="51"/>
      <c r="K54" s="56"/>
      <c r="BA54" s="63"/>
      <c r="BB54" s="63"/>
      <c r="BE54" s="141"/>
      <c r="BF54" s="142"/>
    </row>
    <row r="55" spans="1:58" ht="14.25" customHeight="1">
      <c r="A55" s="113"/>
      <c r="B55" s="109" t="s">
        <v>97</v>
      </c>
      <c r="C55" s="106" t="s">
        <v>320</v>
      </c>
      <c r="D55" s="11">
        <f>IF($BA$232="","",$BA$232)</f>
      </c>
      <c r="E55" s="97" t="s">
        <v>28</v>
      </c>
      <c r="F55" s="123" t="s">
        <v>97</v>
      </c>
      <c r="G55" s="106" t="s">
        <v>326</v>
      </c>
      <c r="H55" s="11">
        <f>IF($BA$237="","",$BA$237)</f>
      </c>
      <c r="I55" s="108" t="s">
        <v>28</v>
      </c>
      <c r="J55" s="51"/>
      <c r="BA55" s="63"/>
      <c r="BB55" s="63"/>
      <c r="BE55" s="141"/>
      <c r="BF55" s="142"/>
    </row>
    <row r="56" spans="1:58" ht="14.25" customHeight="1">
      <c r="A56" s="113"/>
      <c r="B56" s="109" t="s">
        <v>98</v>
      </c>
      <c r="C56" s="106" t="s">
        <v>331</v>
      </c>
      <c r="D56" s="11">
        <f>IF($BA$233="","",$BA$233)</f>
      </c>
      <c r="E56" s="97" t="s">
        <v>2</v>
      </c>
      <c r="F56" s="123" t="s">
        <v>98</v>
      </c>
      <c r="G56" s="106" t="s">
        <v>327</v>
      </c>
      <c r="H56" s="11">
        <f>IF($BA$238="","",$BA$238)</f>
      </c>
      <c r="I56" s="108" t="s">
        <v>2</v>
      </c>
      <c r="J56" s="51"/>
      <c r="BA56" s="63"/>
      <c r="BB56" s="63"/>
      <c r="BE56" s="141"/>
      <c r="BF56" s="142"/>
    </row>
    <row r="57" spans="1:58" ht="14.25" customHeight="1">
      <c r="A57" s="113"/>
      <c r="B57" s="114" t="s">
        <v>23</v>
      </c>
      <c r="C57" s="121" t="s">
        <v>332</v>
      </c>
      <c r="D57" s="17">
        <f>IF($BA$265="","",$BA$265)</f>
      </c>
      <c r="E57" s="112" t="s">
        <v>4</v>
      </c>
      <c r="F57" s="122" t="s">
        <v>23</v>
      </c>
      <c r="G57" s="121" t="s">
        <v>328</v>
      </c>
      <c r="H57" s="17">
        <f>IF($BA$266="","",$BA$266)</f>
      </c>
      <c r="I57" s="124" t="s">
        <v>4</v>
      </c>
      <c r="J57" s="51"/>
      <c r="BA57" s="63"/>
      <c r="BB57" s="63"/>
      <c r="BE57" s="141"/>
      <c r="BF57" s="142"/>
    </row>
    <row r="58" spans="1:58" ht="14.25" customHeight="1">
      <c r="A58" s="113"/>
      <c r="B58" s="114" t="s">
        <v>243</v>
      </c>
      <c r="C58" s="121" t="s">
        <v>321</v>
      </c>
      <c r="D58" s="16">
        <f>IF($BA$234="","",$BA$234)</f>
      </c>
      <c r="E58" s="112" t="s">
        <v>3</v>
      </c>
      <c r="F58" s="122" t="s">
        <v>243</v>
      </c>
      <c r="G58" s="121" t="s">
        <v>334</v>
      </c>
      <c r="H58" s="16">
        <f>IF($BA$239="","",$BA$239)</f>
      </c>
      <c r="I58" s="124" t="s">
        <v>3</v>
      </c>
      <c r="J58" s="51"/>
      <c r="BA58" s="63"/>
      <c r="BB58" s="63"/>
      <c r="BE58" s="141"/>
      <c r="BF58" s="142"/>
    </row>
    <row r="59" spans="1:58" ht="14.25" customHeight="1">
      <c r="A59" s="113"/>
      <c r="B59" s="114" t="s">
        <v>101</v>
      </c>
      <c r="C59" s="121" t="s">
        <v>241</v>
      </c>
      <c r="D59" s="18">
        <f>IF($BA$274="","",$BA$274)</f>
      </c>
      <c r="E59" s="112"/>
      <c r="F59" s="122" t="s">
        <v>101</v>
      </c>
      <c r="G59" s="121" t="s">
        <v>242</v>
      </c>
      <c r="H59" s="18">
        <f>IF($BA$275="","",$BA$275)</f>
      </c>
      <c r="I59" s="124"/>
      <c r="J59" s="284"/>
      <c r="K59" s="56"/>
      <c r="BA59" s="63"/>
      <c r="BB59" s="63"/>
      <c r="BE59" s="141"/>
      <c r="BF59" s="142"/>
    </row>
    <row r="60" spans="1:58" s="286" customFormat="1" ht="14.25" customHeight="1">
      <c r="A60" s="113"/>
      <c r="B60" s="109" t="s">
        <v>288</v>
      </c>
      <c r="C60" s="106" t="s">
        <v>322</v>
      </c>
      <c r="D60" s="11">
        <f>IF($BA$252="","",$BA$252)</f>
      </c>
      <c r="E60" s="97" t="s">
        <v>3</v>
      </c>
      <c r="F60" s="123" t="s">
        <v>288</v>
      </c>
      <c r="G60" s="106" t="s">
        <v>329</v>
      </c>
      <c r="H60" s="11">
        <f>IF($BA$277="","",$BA$277)</f>
      </c>
      <c r="I60" s="108" t="s">
        <v>3</v>
      </c>
      <c r="J60" s="285"/>
      <c r="BE60" s="287"/>
      <c r="BF60" s="288"/>
    </row>
    <row r="61" spans="1:58" s="286" customFormat="1" ht="14.25" customHeight="1">
      <c r="A61" s="113"/>
      <c r="B61" s="109" t="s">
        <v>351</v>
      </c>
      <c r="C61" s="106" t="s">
        <v>323</v>
      </c>
      <c r="D61" s="11">
        <f>IF($BA$254="","",$BA$254)</f>
      </c>
      <c r="E61" s="97" t="s">
        <v>2</v>
      </c>
      <c r="F61" s="123" t="s">
        <v>351</v>
      </c>
      <c r="G61" s="106" t="s">
        <v>330</v>
      </c>
      <c r="H61" s="11">
        <f>IF($BA$279="","",$BA$279)</f>
      </c>
      <c r="I61" s="108" t="s">
        <v>2</v>
      </c>
      <c r="J61" s="289"/>
      <c r="L61" s="290"/>
      <c r="BE61" s="287"/>
      <c r="BF61" s="288"/>
    </row>
    <row r="62" spans="1:58" s="286" customFormat="1" ht="12" customHeight="1">
      <c r="A62" s="113"/>
      <c r="B62" s="129"/>
      <c r="C62" s="125"/>
      <c r="D62" s="107"/>
      <c r="E62" s="107"/>
      <c r="F62" s="107"/>
      <c r="G62" s="125"/>
      <c r="H62" s="107"/>
      <c r="I62" s="110"/>
      <c r="J62" s="289"/>
      <c r="BE62" s="287"/>
      <c r="BF62" s="288"/>
    </row>
    <row r="63" spans="1:58" s="286" customFormat="1" ht="14.25" customHeight="1">
      <c r="A63" s="113"/>
      <c r="B63" s="114"/>
      <c r="C63" s="130" t="s">
        <v>315</v>
      </c>
      <c r="D63" s="120"/>
      <c r="E63" s="97"/>
      <c r="F63" s="107"/>
      <c r="G63" s="125"/>
      <c r="H63" s="127"/>
      <c r="I63" s="110"/>
      <c r="J63" s="289"/>
      <c r="BE63" s="287"/>
      <c r="BF63" s="288"/>
    </row>
    <row r="64" spans="1:58" ht="14.25" customHeight="1">
      <c r="A64" s="113"/>
      <c r="B64" s="114" t="s">
        <v>99</v>
      </c>
      <c r="C64" s="121" t="s">
        <v>112</v>
      </c>
      <c r="D64" s="19">
        <f>IF($BA$240="","",$BA$240)</f>
      </c>
      <c r="E64" s="112" t="s">
        <v>2</v>
      </c>
      <c r="F64" s="122" t="s">
        <v>23</v>
      </c>
      <c r="G64" s="121" t="s">
        <v>102</v>
      </c>
      <c r="H64" s="15">
        <f>IF($BA$243="","",$BA$243)</f>
      </c>
      <c r="I64" s="124" t="s">
        <v>4</v>
      </c>
      <c r="J64" s="284"/>
      <c r="BA64" s="63"/>
      <c r="BB64" s="63"/>
      <c r="BE64" s="141"/>
      <c r="BF64" s="142"/>
    </row>
    <row r="65" spans="1:58" ht="14.25" customHeight="1">
      <c r="A65" s="113"/>
      <c r="B65" s="131" t="s">
        <v>359</v>
      </c>
      <c r="C65" s="121" t="s">
        <v>22</v>
      </c>
      <c r="D65" s="18">
        <f>IF($BA$273="","",$BA$273)</f>
      </c>
      <c r="E65" s="112" t="s">
        <v>2</v>
      </c>
      <c r="F65" s="122" t="s">
        <v>356</v>
      </c>
      <c r="G65" s="121" t="s">
        <v>9</v>
      </c>
      <c r="H65" s="16">
        <f>IF($BA$267="","",$BA$267)</f>
      </c>
      <c r="I65" s="124" t="s">
        <v>3</v>
      </c>
      <c r="J65" s="284"/>
      <c r="M65" s="291"/>
      <c r="BA65" s="63"/>
      <c r="BB65" s="63"/>
      <c r="BE65" s="141"/>
      <c r="BF65" s="142"/>
    </row>
    <row r="66" spans="1:58" ht="14.25" customHeight="1">
      <c r="A66" s="113"/>
      <c r="B66" s="109" t="s">
        <v>97</v>
      </c>
      <c r="C66" s="106" t="s">
        <v>7</v>
      </c>
      <c r="D66" s="11">
        <f>IF($BA$241="","",$BA$241)</f>
      </c>
      <c r="E66" s="97" t="s">
        <v>28</v>
      </c>
      <c r="F66" s="123" t="s">
        <v>101</v>
      </c>
      <c r="G66" s="106" t="s">
        <v>36</v>
      </c>
      <c r="H66" s="14">
        <f>IF($BA$244="","",$BA$244)</f>
      </c>
      <c r="I66" s="108"/>
      <c r="J66" s="51"/>
      <c r="BA66" s="63"/>
      <c r="BB66" s="63"/>
      <c r="BE66" s="141"/>
      <c r="BF66" s="142"/>
    </row>
    <row r="67" spans="1:58" ht="14.25" customHeight="1">
      <c r="A67" s="132"/>
      <c r="B67" s="109" t="s">
        <v>98</v>
      </c>
      <c r="C67" s="106" t="s">
        <v>103</v>
      </c>
      <c r="D67" s="11">
        <f>IF($BA$242="","",$BA$242)</f>
      </c>
      <c r="E67" s="97" t="s">
        <v>2</v>
      </c>
      <c r="F67" s="123" t="s">
        <v>288</v>
      </c>
      <c r="G67" s="106" t="s">
        <v>316</v>
      </c>
      <c r="H67" s="9">
        <f>IF($BA$249="","",$BA$249)</f>
      </c>
      <c r="I67" s="108" t="s">
        <v>3</v>
      </c>
      <c r="J67" s="51"/>
      <c r="BA67" s="63"/>
      <c r="BB67" s="63"/>
      <c r="BE67" s="141"/>
      <c r="BF67" s="142"/>
    </row>
    <row r="68" spans="1:58" ht="14.25" customHeight="1">
      <c r="A68" s="133"/>
      <c r="B68" s="109" t="s">
        <v>423</v>
      </c>
      <c r="C68" s="106" t="s">
        <v>424</v>
      </c>
      <c r="D68" s="12">
        <f>IF($BA$245="","",$BA$245)</f>
      </c>
      <c r="E68" s="97"/>
      <c r="F68" s="123" t="s">
        <v>351</v>
      </c>
      <c r="G68" s="106" t="s">
        <v>314</v>
      </c>
      <c r="H68" s="13">
        <f>IF($BA$251="","",$BA$251)</f>
      </c>
      <c r="I68" s="108" t="s">
        <v>2</v>
      </c>
      <c r="J68" s="51"/>
      <c r="BA68" s="63"/>
      <c r="BB68" s="63"/>
      <c r="BE68" s="141"/>
      <c r="BF68" s="142"/>
    </row>
    <row r="69" spans="1:58" ht="12" customHeight="1" thickBot="1">
      <c r="A69" s="133"/>
      <c r="B69" s="134"/>
      <c r="C69" s="135"/>
      <c r="D69" s="135"/>
      <c r="E69" s="135"/>
      <c r="F69" s="135"/>
      <c r="G69" s="135"/>
      <c r="H69" s="135"/>
      <c r="I69" s="136"/>
      <c r="J69" s="51"/>
      <c r="BA69" s="63"/>
      <c r="BB69" s="63"/>
      <c r="BE69" s="141"/>
      <c r="BF69" s="142"/>
    </row>
    <row r="70" spans="1:58" ht="13.5" thickTop="1">
      <c r="A70" s="137"/>
      <c r="B70" s="90"/>
      <c r="C70" s="81"/>
      <c r="D70" s="81"/>
      <c r="E70" s="81"/>
      <c r="F70" s="81"/>
      <c r="G70" s="81"/>
      <c r="H70" s="81"/>
      <c r="I70" s="81"/>
      <c r="J70" s="51"/>
      <c r="BA70" s="63"/>
      <c r="BB70" s="63"/>
      <c r="BE70" s="141"/>
      <c r="BF70" s="142"/>
    </row>
    <row r="71" spans="1:58" ht="15.75">
      <c r="A71" s="138">
        <f>$BA$258</f>
      </c>
      <c r="B71" s="128"/>
      <c r="C71" s="128"/>
      <c r="D71" s="128"/>
      <c r="E71" s="128"/>
      <c r="F71" s="81"/>
      <c r="G71" s="81"/>
      <c r="H71" s="81"/>
      <c r="I71" s="81"/>
      <c r="J71" s="51"/>
      <c r="L71" s="291"/>
      <c r="BA71" s="63"/>
      <c r="BB71" s="63"/>
      <c r="BE71" s="141"/>
      <c r="BF71" s="142"/>
    </row>
    <row r="72" spans="1:58" ht="15.75">
      <c r="A72" s="138">
        <f>$BA$259</f>
      </c>
      <c r="B72" s="128"/>
      <c r="C72" s="128"/>
      <c r="D72" s="128"/>
      <c r="E72" s="128"/>
      <c r="F72" s="81"/>
      <c r="G72" s="81"/>
      <c r="H72" s="81"/>
      <c r="I72" s="81"/>
      <c r="J72" s="51"/>
      <c r="BA72" s="63"/>
      <c r="BB72" s="63"/>
      <c r="BE72" s="141"/>
      <c r="BF72" s="142"/>
    </row>
    <row r="73" spans="1:58" ht="15.75">
      <c r="A73" s="138">
        <f>$BA$260</f>
      </c>
      <c r="B73" s="128"/>
      <c r="C73" s="128"/>
      <c r="D73" s="128"/>
      <c r="E73" s="128"/>
      <c r="F73" s="81"/>
      <c r="G73" s="81"/>
      <c r="H73" s="81"/>
      <c r="I73" s="81"/>
      <c r="J73" s="51"/>
      <c r="BA73" s="63"/>
      <c r="BB73" s="63"/>
      <c r="BE73" s="141"/>
      <c r="BF73" s="142"/>
    </row>
    <row r="74" spans="1:58" ht="15.75">
      <c r="A74" s="138">
        <f>$BA$261</f>
      </c>
      <c r="B74" s="128"/>
      <c r="C74" s="128"/>
      <c r="D74" s="128"/>
      <c r="E74" s="128"/>
      <c r="F74" s="81"/>
      <c r="G74" s="81"/>
      <c r="H74" s="81"/>
      <c r="I74" s="81"/>
      <c r="J74" s="51"/>
      <c r="BA74" s="63"/>
      <c r="BB74" s="63"/>
      <c r="BE74" s="141"/>
      <c r="BF74" s="142"/>
    </row>
    <row r="75" spans="1:58" ht="12.75" customHeight="1">
      <c r="A75" s="139">
        <f>$BA$269</f>
      </c>
      <c r="B75" s="90"/>
      <c r="C75" s="81"/>
      <c r="D75" s="81"/>
      <c r="E75" s="81"/>
      <c r="F75" s="81"/>
      <c r="G75" s="81"/>
      <c r="H75" s="81"/>
      <c r="I75" s="81"/>
      <c r="J75" s="51"/>
      <c r="BA75" s="63"/>
      <c r="BB75" s="63"/>
      <c r="BE75" s="141"/>
      <c r="BF75" s="142"/>
    </row>
    <row r="76" spans="1:58" ht="15.75">
      <c r="A76" s="139">
        <f>$BA$270</f>
      </c>
      <c r="B76" s="90"/>
      <c r="C76" s="81"/>
      <c r="D76" s="81"/>
      <c r="E76" s="81"/>
      <c r="F76" s="81"/>
      <c r="G76" s="81"/>
      <c r="H76" s="81"/>
      <c r="I76" s="81"/>
      <c r="J76" s="51"/>
      <c r="BA76" s="63"/>
      <c r="BB76" s="63"/>
      <c r="BE76" s="141"/>
      <c r="BF76" s="142"/>
    </row>
    <row r="77" spans="1:58" ht="15.75">
      <c r="A77" s="139">
        <f>$BA$271</f>
      </c>
      <c r="B77" s="90"/>
      <c r="C77" s="81"/>
      <c r="D77" s="81"/>
      <c r="E77" s="81"/>
      <c r="F77" s="81"/>
      <c r="G77" s="81"/>
      <c r="H77" s="81"/>
      <c r="I77" s="81"/>
      <c r="J77" s="51"/>
      <c r="BA77" s="63"/>
      <c r="BB77" s="63"/>
      <c r="BE77" s="141"/>
      <c r="BF77" s="142"/>
    </row>
    <row r="78" spans="1:58" ht="12.75">
      <c r="A78" s="140"/>
      <c r="J78" s="51"/>
      <c r="L78" s="291"/>
      <c r="BA78" s="63"/>
      <c r="BB78" s="63"/>
      <c r="BE78" s="141"/>
      <c r="BF78" s="142"/>
    </row>
    <row r="79" spans="1:58" ht="12.75">
      <c r="A79" s="278"/>
      <c r="B79" s="281"/>
      <c r="C79" s="281"/>
      <c r="D79" s="281"/>
      <c r="E79" s="281"/>
      <c r="J79" s="51"/>
      <c r="BA79" s="63"/>
      <c r="BB79" s="63"/>
      <c r="BE79" s="141"/>
      <c r="BF79" s="142"/>
    </row>
    <row r="80" spans="1:10" ht="12.75">
      <c r="A80" s="292"/>
      <c r="B80" s="281"/>
      <c r="C80" s="281"/>
      <c r="D80" s="281"/>
      <c r="E80" s="281"/>
      <c r="J80" s="280"/>
    </row>
    <row r="81" spans="1:10" ht="12.75">
      <c r="A81" s="292"/>
      <c r="B81" s="281"/>
      <c r="C81" s="281"/>
      <c r="D81" s="281"/>
      <c r="E81" s="281"/>
      <c r="F81" s="280"/>
      <c r="G81" s="280"/>
      <c r="H81" s="280"/>
      <c r="I81" s="280"/>
      <c r="J81" s="280"/>
    </row>
    <row r="82" spans="1:10" ht="12.75" customHeight="1">
      <c r="A82" s="292"/>
      <c r="B82" s="293"/>
      <c r="C82" s="293"/>
      <c r="D82" s="293"/>
      <c r="E82" s="293"/>
      <c r="F82" s="280"/>
      <c r="G82" s="280"/>
      <c r="H82" s="280"/>
      <c r="I82" s="280"/>
      <c r="J82" s="280"/>
    </row>
    <row r="83" spans="1:9" ht="15.75">
      <c r="A83" s="292"/>
      <c r="B83" s="294"/>
      <c r="C83" s="294"/>
      <c r="D83" s="294"/>
      <c r="E83" s="294"/>
      <c r="F83" s="277"/>
      <c r="G83" s="51"/>
      <c r="H83" s="58"/>
      <c r="I83" s="51"/>
    </row>
    <row r="84" spans="1:9" ht="15.75">
      <c r="A84" s="292"/>
      <c r="B84" s="294"/>
      <c r="C84" s="294"/>
      <c r="D84" s="294"/>
      <c r="E84" s="294"/>
      <c r="F84" s="280"/>
      <c r="G84" s="280"/>
      <c r="H84" s="280"/>
      <c r="I84" s="280"/>
    </row>
    <row r="85" spans="1:9" ht="15.75">
      <c r="A85" s="292"/>
      <c r="B85" s="294"/>
      <c r="C85" s="294"/>
      <c r="D85" s="294"/>
      <c r="E85" s="294"/>
      <c r="F85" s="280"/>
      <c r="G85" s="280"/>
      <c r="H85" s="280"/>
      <c r="I85" s="280"/>
    </row>
    <row r="86" spans="1:9" ht="15.75">
      <c r="A86" s="292"/>
      <c r="B86" s="294"/>
      <c r="C86" s="294"/>
      <c r="D86" s="294"/>
      <c r="E86" s="294"/>
      <c r="F86" s="280"/>
      <c r="G86" s="280"/>
      <c r="H86" s="280"/>
      <c r="I86" s="280"/>
    </row>
    <row r="87" spans="1:5" ht="12.75">
      <c r="A87" s="292"/>
      <c r="B87" s="279"/>
      <c r="C87" s="279"/>
      <c r="D87" s="279"/>
      <c r="E87" s="279"/>
    </row>
    <row r="88" spans="2:5" ht="12.75">
      <c r="B88" s="293"/>
      <c r="C88" s="293"/>
      <c r="D88" s="293"/>
      <c r="E88" s="293"/>
    </row>
    <row r="89" spans="2:5" ht="12.75">
      <c r="B89" s="293"/>
      <c r="C89" s="293"/>
      <c r="D89" s="293"/>
      <c r="E89" s="293"/>
    </row>
    <row r="90" spans="2:5" ht="12.75">
      <c r="B90" s="293"/>
      <c r="C90" s="293"/>
      <c r="D90" s="293"/>
      <c r="E90" s="293"/>
    </row>
    <row r="91" spans="2:5" ht="12.75">
      <c r="B91" s="293"/>
      <c r="C91" s="293"/>
      <c r="D91" s="293"/>
      <c r="E91" s="293"/>
    </row>
    <row r="92" spans="2:5" ht="12.75">
      <c r="B92" s="293"/>
      <c r="C92" s="293"/>
      <c r="D92" s="293"/>
      <c r="E92" s="293"/>
    </row>
    <row r="93" spans="2:5" ht="12.75">
      <c r="B93" s="293"/>
      <c r="C93" s="293"/>
      <c r="D93" s="293"/>
      <c r="E93" s="293"/>
    </row>
    <row r="94" spans="2:5" ht="12.75">
      <c r="B94" s="293"/>
      <c r="C94" s="293"/>
      <c r="D94" s="293"/>
      <c r="E94" s="293"/>
    </row>
    <row r="95" spans="2:5" ht="12.75">
      <c r="B95" s="293"/>
      <c r="C95" s="293"/>
      <c r="D95" s="293"/>
      <c r="E95" s="293"/>
    </row>
    <row r="96" spans="2:5" ht="12.75">
      <c r="B96" s="293"/>
      <c r="C96" s="293"/>
      <c r="D96" s="293"/>
      <c r="E96" s="293"/>
    </row>
    <row r="97" spans="2:5" ht="12.75">
      <c r="B97" s="293"/>
      <c r="C97" s="293"/>
      <c r="D97" s="293"/>
      <c r="E97" s="293"/>
    </row>
    <row r="98" spans="2:5" ht="12.75">
      <c r="B98" s="295"/>
      <c r="C98" s="295"/>
      <c r="D98" s="295"/>
      <c r="E98" s="295"/>
    </row>
    <row r="99" spans="2:5" ht="12.75">
      <c r="B99" s="293"/>
      <c r="C99" s="293"/>
      <c r="D99" s="293"/>
      <c r="E99" s="293"/>
    </row>
    <row r="100" spans="2:5" ht="12.75">
      <c r="B100" s="295"/>
      <c r="C100" s="295"/>
      <c r="D100" s="295"/>
      <c r="E100" s="296"/>
    </row>
    <row r="101" spans="2:5" ht="12.75">
      <c r="B101" s="295"/>
      <c r="C101" s="295"/>
      <c r="D101" s="295"/>
      <c r="E101" s="296"/>
    </row>
    <row r="102" spans="2:5" ht="12.75">
      <c r="B102" s="295"/>
      <c r="C102" s="295"/>
      <c r="D102" s="295"/>
      <c r="E102" s="296"/>
    </row>
    <row r="103" spans="4:5" ht="12.75">
      <c r="D103" s="297"/>
      <c r="E103" s="280"/>
    </row>
    <row r="104" spans="4:5" ht="12.75">
      <c r="D104" s="297"/>
      <c r="E104" s="280"/>
    </row>
    <row r="105" spans="4:5" ht="12.75">
      <c r="D105" s="297"/>
      <c r="E105" s="280"/>
    </row>
    <row r="106" ht="12.75">
      <c r="D106" s="297"/>
    </row>
    <row r="107" ht="12.75">
      <c r="D107" s="297"/>
    </row>
    <row r="108" spans="3:4" ht="12.75">
      <c r="C108" s="145"/>
      <c r="D108" s="144"/>
    </row>
    <row r="109" spans="3:4" ht="12.75">
      <c r="C109" s="145"/>
      <c r="D109" s="297"/>
    </row>
    <row r="110" spans="3:4" ht="12.75">
      <c r="C110" s="145"/>
      <c r="D110" s="297"/>
    </row>
    <row r="111" spans="3:4" ht="12.75">
      <c r="C111" s="145"/>
      <c r="D111" s="144"/>
    </row>
    <row r="112" spans="3:4" ht="12.75">
      <c r="C112" s="145"/>
      <c r="D112" s="297"/>
    </row>
    <row r="113" spans="3:4" ht="12.75">
      <c r="C113" s="145"/>
      <c r="D113" s="297"/>
    </row>
    <row r="114" spans="3:4" ht="12.75">
      <c r="C114" s="145"/>
      <c r="D114" s="297"/>
    </row>
    <row r="115" spans="3:4" ht="12.75">
      <c r="C115" s="145"/>
      <c r="D115" s="297"/>
    </row>
    <row r="116" spans="3:4" ht="12.75">
      <c r="C116" s="145"/>
      <c r="D116" s="297"/>
    </row>
    <row r="117" spans="3:4" ht="12.75">
      <c r="C117" s="145"/>
      <c r="D117" s="297"/>
    </row>
    <row r="118" ht="12.75">
      <c r="D118" s="297"/>
    </row>
    <row r="119" ht="12.75">
      <c r="D119" s="297"/>
    </row>
    <row r="120" ht="12.75">
      <c r="D120" s="297"/>
    </row>
    <row r="121" ht="12.75">
      <c r="D121" s="297"/>
    </row>
    <row r="122" ht="12.75">
      <c r="D122" s="297"/>
    </row>
    <row r="123" ht="12.75">
      <c r="D123" s="297"/>
    </row>
    <row r="124" ht="12.75">
      <c r="D124" s="297"/>
    </row>
    <row r="125" ht="12.75">
      <c r="D125" s="297"/>
    </row>
    <row r="126" ht="12.75">
      <c r="D126" s="297"/>
    </row>
    <row r="127" ht="12.75">
      <c r="D127" s="297"/>
    </row>
    <row r="128" ht="12.75">
      <c r="D128" s="297"/>
    </row>
    <row r="129" ht="12.75">
      <c r="D129" s="297"/>
    </row>
    <row r="130" ht="12.75">
      <c r="D130" s="297"/>
    </row>
    <row r="131" ht="12.75">
      <c r="D131" s="297"/>
    </row>
    <row r="132" ht="12.75">
      <c r="D132" s="297"/>
    </row>
    <row r="133" ht="12.75">
      <c r="D133" s="297"/>
    </row>
    <row r="134" ht="12.75">
      <c r="D134" s="297"/>
    </row>
    <row r="135" ht="12.75">
      <c r="D135" s="297"/>
    </row>
    <row r="136" ht="12.75">
      <c r="D136" s="297"/>
    </row>
    <row r="137" ht="12.75">
      <c r="D137" s="297"/>
    </row>
    <row r="138" ht="12.75">
      <c r="D138" s="297"/>
    </row>
    <row r="139" ht="12.75">
      <c r="D139" s="297"/>
    </row>
    <row r="140" ht="12.75">
      <c r="D140" s="297"/>
    </row>
    <row r="141" ht="12.75">
      <c r="D141" s="297"/>
    </row>
    <row r="142" ht="12.75">
      <c r="D142" s="297"/>
    </row>
    <row r="143" ht="12.75">
      <c r="D143" s="297"/>
    </row>
    <row r="144" ht="12.75">
      <c r="D144" s="297"/>
    </row>
    <row r="145" ht="12.75">
      <c r="D145" s="297"/>
    </row>
    <row r="146" ht="12.75">
      <c r="D146" s="297"/>
    </row>
    <row r="147" ht="12.75">
      <c r="D147" s="297"/>
    </row>
    <row r="148" ht="12.75">
      <c r="D148" s="297"/>
    </row>
    <row r="149" ht="12.75">
      <c r="D149" s="297"/>
    </row>
    <row r="150" ht="12.75">
      <c r="D150" s="297"/>
    </row>
    <row r="151" ht="12.75">
      <c r="D151" s="297"/>
    </row>
    <row r="152" ht="12.75">
      <c r="D152" s="297"/>
    </row>
    <row r="153" ht="12.75">
      <c r="D153" s="297"/>
    </row>
    <row r="154" ht="12.75">
      <c r="D154" s="297"/>
    </row>
    <row r="155" ht="12.75">
      <c r="D155" s="297"/>
    </row>
    <row r="156" ht="12.75">
      <c r="D156" s="297"/>
    </row>
    <row r="157" ht="12.75">
      <c r="D157" s="297"/>
    </row>
    <row r="158" ht="12.75">
      <c r="D158" s="297"/>
    </row>
    <row r="159" ht="12.75">
      <c r="D159" s="297"/>
    </row>
    <row r="160" ht="12.75">
      <c r="D160" s="297"/>
    </row>
    <row r="161" ht="12.75">
      <c r="D161" s="297"/>
    </row>
    <row r="162" ht="12.75">
      <c r="D162" s="297"/>
    </row>
    <row r="163" ht="12.75">
      <c r="D163" s="297"/>
    </row>
    <row r="164" ht="12.75">
      <c r="D164" s="297"/>
    </row>
    <row r="165" ht="12.75">
      <c r="D165" s="297"/>
    </row>
    <row r="200" spans="52:53" ht="12.75">
      <c r="AZ200" s="143" t="s">
        <v>215</v>
      </c>
      <c r="BA200" s="141">
        <f>H25</f>
        <v>0</v>
      </c>
    </row>
    <row r="201" ht="12.75">
      <c r="AZ201" s="143" t="s">
        <v>216</v>
      </c>
    </row>
    <row r="202" spans="52:53" ht="12.75">
      <c r="AZ202" s="143" t="s">
        <v>217</v>
      </c>
      <c r="BA202" s="144"/>
    </row>
    <row r="203" spans="52:53" ht="12.75">
      <c r="AZ203" s="143" t="s">
        <v>218</v>
      </c>
      <c r="BA203" s="144"/>
    </row>
    <row r="204" spans="52:54" ht="12.75">
      <c r="AZ204" s="143" t="s">
        <v>209</v>
      </c>
      <c r="BA204" s="144"/>
      <c r="BB204" s="142" t="s">
        <v>301</v>
      </c>
    </row>
    <row r="205" spans="52:53" ht="12.75">
      <c r="AZ205" s="143" t="s">
        <v>18</v>
      </c>
      <c r="BA205" s="144"/>
    </row>
    <row r="206" spans="52:53" ht="12.75">
      <c r="AZ206" s="143" t="s">
        <v>20</v>
      </c>
      <c r="BA206" s="144"/>
    </row>
    <row r="207" spans="52:54" ht="12.75">
      <c r="AZ207" s="143" t="s">
        <v>95</v>
      </c>
      <c r="BA207" s="144"/>
      <c r="BB207" s="142" t="s">
        <v>301</v>
      </c>
    </row>
    <row r="208" spans="52:54" ht="12.75">
      <c r="AZ208" s="143" t="s">
        <v>91</v>
      </c>
      <c r="BA208" s="144"/>
      <c r="BB208" s="142" t="s">
        <v>301</v>
      </c>
    </row>
    <row r="209" spans="52:54" ht="12.75">
      <c r="AZ209" s="143" t="s">
        <v>92</v>
      </c>
      <c r="BB209" s="142" t="s">
        <v>301</v>
      </c>
    </row>
    <row r="210" spans="52:54" ht="12.75">
      <c r="AZ210" s="143" t="s">
        <v>94</v>
      </c>
      <c r="BA210" s="144"/>
      <c r="BB210" s="142" t="s">
        <v>301</v>
      </c>
    </row>
    <row r="211" spans="52:54" ht="12.75">
      <c r="AZ211" s="143" t="s">
        <v>190</v>
      </c>
      <c r="BB211" s="142" t="s">
        <v>301</v>
      </c>
    </row>
    <row r="212" spans="52:53" ht="12.75">
      <c r="AZ212" s="143" t="s">
        <v>96</v>
      </c>
      <c r="BA212" s="144"/>
    </row>
    <row r="213" ht="12.75">
      <c r="AZ213" s="143" t="s">
        <v>146</v>
      </c>
    </row>
    <row r="214" ht="12.75">
      <c r="AZ214" s="143" t="s">
        <v>147</v>
      </c>
    </row>
    <row r="215" ht="12.75">
      <c r="AZ215" s="145" t="s">
        <v>245</v>
      </c>
    </row>
    <row r="216" ht="12.75">
      <c r="AZ216" s="145" t="s">
        <v>246</v>
      </c>
    </row>
    <row r="217" ht="12.75">
      <c r="AZ217" s="145" t="s">
        <v>247</v>
      </c>
    </row>
    <row r="218" ht="12.75">
      <c r="AZ218" s="145" t="s">
        <v>248</v>
      </c>
    </row>
    <row r="219" ht="12.75">
      <c r="AZ219" s="145" t="s">
        <v>249</v>
      </c>
    </row>
    <row r="220" ht="12.75">
      <c r="AZ220" s="145" t="s">
        <v>250</v>
      </c>
    </row>
    <row r="221" ht="12.75">
      <c r="AZ221" s="145" t="s">
        <v>251</v>
      </c>
    </row>
    <row r="222" ht="12.75">
      <c r="AZ222" s="145" t="s">
        <v>252</v>
      </c>
    </row>
    <row r="223" ht="12.75">
      <c r="AZ223" s="145" t="s">
        <v>253</v>
      </c>
    </row>
    <row r="224" ht="12.75">
      <c r="AZ224" s="145" t="s">
        <v>254</v>
      </c>
    </row>
    <row r="225" ht="12.75">
      <c r="AZ225" s="145" t="s">
        <v>255</v>
      </c>
    </row>
    <row r="226" ht="12.75">
      <c r="AZ226" s="145" t="s">
        <v>256</v>
      </c>
    </row>
    <row r="227" ht="12.75">
      <c r="AZ227" s="145" t="s">
        <v>257</v>
      </c>
    </row>
    <row r="228" ht="12.75">
      <c r="AZ228" s="145" t="s">
        <v>258</v>
      </c>
    </row>
    <row r="229" ht="12.75">
      <c r="AZ229" s="145" t="s">
        <v>259</v>
      </c>
    </row>
    <row r="230" ht="12.75">
      <c r="AZ230" s="145" t="s">
        <v>260</v>
      </c>
    </row>
    <row r="231" ht="12.75">
      <c r="AZ231" s="145" t="s">
        <v>261</v>
      </c>
    </row>
    <row r="232" ht="12.75">
      <c r="AZ232" s="145" t="s">
        <v>262</v>
      </c>
    </row>
    <row r="233" ht="12.75">
      <c r="AZ233" s="145" t="s">
        <v>263</v>
      </c>
    </row>
    <row r="234" ht="12.75">
      <c r="AZ234" s="145" t="s">
        <v>264</v>
      </c>
    </row>
    <row r="235" ht="12.75">
      <c r="AZ235" s="145" t="s">
        <v>265</v>
      </c>
    </row>
    <row r="236" ht="12.75">
      <c r="AZ236" s="145" t="s">
        <v>266</v>
      </c>
    </row>
    <row r="237" ht="12.75">
      <c r="AZ237" s="145" t="s">
        <v>267</v>
      </c>
    </row>
    <row r="238" ht="12.75">
      <c r="AZ238" s="145" t="s">
        <v>268</v>
      </c>
    </row>
    <row r="239" ht="12.75">
      <c r="AZ239" s="145" t="s">
        <v>269</v>
      </c>
    </row>
    <row r="240" ht="12.75">
      <c r="AZ240" s="145" t="s">
        <v>270</v>
      </c>
    </row>
    <row r="241" ht="12.75">
      <c r="AZ241" s="145" t="s">
        <v>271</v>
      </c>
    </row>
    <row r="242" ht="12.75">
      <c r="AZ242" s="145" t="s">
        <v>272</v>
      </c>
    </row>
    <row r="243" ht="12.75">
      <c r="AZ243" s="145" t="s">
        <v>273</v>
      </c>
    </row>
    <row r="244" ht="12.75">
      <c r="AZ244" s="145" t="s">
        <v>274</v>
      </c>
    </row>
    <row r="245" ht="12.75">
      <c r="AZ245" s="145" t="s">
        <v>275</v>
      </c>
    </row>
    <row r="246" ht="12.75">
      <c r="AZ246" s="145" t="s">
        <v>276</v>
      </c>
    </row>
    <row r="247" ht="12.75">
      <c r="AZ247" s="145" t="s">
        <v>277</v>
      </c>
    </row>
    <row r="248" ht="12.75">
      <c r="AZ248" s="145" t="s">
        <v>278</v>
      </c>
    </row>
    <row r="249" ht="12.75">
      <c r="AZ249" s="145" t="s">
        <v>279</v>
      </c>
    </row>
    <row r="250" ht="12.75">
      <c r="AZ250" s="145" t="s">
        <v>280</v>
      </c>
    </row>
    <row r="251" ht="12.75">
      <c r="AZ251" s="145" t="s">
        <v>281</v>
      </c>
    </row>
    <row r="252" ht="12.75">
      <c r="AZ252" s="146" t="s">
        <v>282</v>
      </c>
    </row>
    <row r="253" ht="12.75">
      <c r="AZ253" s="146" t="s">
        <v>283</v>
      </c>
    </row>
    <row r="254" ht="12.75">
      <c r="AZ254" s="146" t="s">
        <v>284</v>
      </c>
    </row>
    <row r="255" ht="12.75">
      <c r="AZ255" s="146" t="s">
        <v>285</v>
      </c>
    </row>
    <row r="256" ht="12.75">
      <c r="AZ256" s="146" t="s">
        <v>286</v>
      </c>
    </row>
    <row r="257" ht="12.75">
      <c r="AZ257" s="146" t="s">
        <v>287</v>
      </c>
    </row>
    <row r="258" ht="12.75">
      <c r="BA258" s="142" t="s">
        <v>301</v>
      </c>
    </row>
    <row r="259" ht="12.75">
      <c r="BA259" s="142" t="s">
        <v>301</v>
      </c>
    </row>
    <row r="260" ht="12.75">
      <c r="BA260" s="142" t="s">
        <v>301</v>
      </c>
    </row>
    <row r="261" spans="53:54" ht="12.75">
      <c r="BA261" s="142" t="s">
        <v>301</v>
      </c>
      <c r="BB261" s="142" t="s">
        <v>301</v>
      </c>
    </row>
    <row r="262" ht="12.75">
      <c r="AZ262" s="145" t="s">
        <v>299</v>
      </c>
    </row>
    <row r="263" ht="12.75">
      <c r="AZ263" s="145" t="s">
        <v>300</v>
      </c>
    </row>
    <row r="264" ht="12.75">
      <c r="AZ264" s="145" t="s">
        <v>302</v>
      </c>
    </row>
    <row r="265" ht="12.75">
      <c r="AZ265" s="145" t="s">
        <v>303</v>
      </c>
    </row>
    <row r="266" ht="12.75">
      <c r="AZ266" s="145" t="s">
        <v>304</v>
      </c>
    </row>
    <row r="267" ht="12.75">
      <c r="AZ267" s="145" t="s">
        <v>305</v>
      </c>
    </row>
    <row r="268" ht="12.75">
      <c r="AZ268" s="145" t="s">
        <v>317</v>
      </c>
    </row>
    <row r="269" ht="12.75">
      <c r="BA269" s="142" t="s">
        <v>301</v>
      </c>
    </row>
    <row r="270" ht="12.75">
      <c r="BA270" s="142" t="s">
        <v>301</v>
      </c>
    </row>
    <row r="271" ht="12.75">
      <c r="BA271" s="142" t="s">
        <v>301</v>
      </c>
    </row>
    <row r="272" ht="12.75">
      <c r="BA272" s="141" t="s">
        <v>301</v>
      </c>
    </row>
    <row r="273" ht="12.75">
      <c r="BA273" s="141" t="s">
        <v>301</v>
      </c>
    </row>
    <row r="274" ht="12.75">
      <c r="BA274" s="141" t="s">
        <v>301</v>
      </c>
    </row>
    <row r="275" ht="12.75">
      <c r="BA275" s="141" t="s">
        <v>301</v>
      </c>
    </row>
    <row r="276" ht="12.75">
      <c r="BA276" s="141" t="s">
        <v>301</v>
      </c>
    </row>
    <row r="277" ht="12.75">
      <c r="BA277" s="141" t="s">
        <v>301</v>
      </c>
    </row>
    <row r="278" ht="12.75">
      <c r="BA278" s="141" t="s">
        <v>301</v>
      </c>
    </row>
    <row r="279" ht="12.75">
      <c r="BA279" s="141" t="s">
        <v>301</v>
      </c>
    </row>
  </sheetData>
  <sheetProtection formatCells="0" formatColumns="0" formatRows="0"/>
  <mergeCells count="3">
    <mergeCell ref="B4:I4"/>
    <mergeCell ref="B5:I5"/>
    <mergeCell ref="B2:I2"/>
  </mergeCells>
  <printOptions horizontalCentered="1"/>
  <pageMargins left="0.5" right="0.5" top="0.5" bottom="0.5" header="0.25" footer="0.25"/>
  <pageSetup fitToHeight="1" fitToWidth="1" horizontalDpi="300" verticalDpi="300" orientation="portrait" scale="66" r:id="rId3"/>
  <headerFooter alignWithMargins="0">
    <oddFooter>&amp;L&amp;F, &amp;A&amp;R&amp;D, &amp;T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BF270"/>
  <sheetViews>
    <sheetView zoomScale="75" zoomScaleNormal="75" workbookViewId="0" topLeftCell="A1">
      <selection activeCell="B2" sqref="B2:I2"/>
    </sheetView>
  </sheetViews>
  <sheetFormatPr defaultColWidth="9.140625" defaultRowHeight="12.75"/>
  <cols>
    <col min="1" max="1" width="13.7109375" style="275" customWidth="1"/>
    <col min="2" max="2" width="34.57421875" style="276" customWidth="1"/>
    <col min="3" max="3" width="11.140625" style="63" customWidth="1"/>
    <col min="4" max="4" width="9.140625" style="63" customWidth="1"/>
    <col min="5" max="5" width="6.28125" style="63" customWidth="1"/>
    <col min="6" max="6" width="33.8515625" style="63" customWidth="1"/>
    <col min="7" max="8" width="9.140625" style="63" customWidth="1"/>
    <col min="9" max="9" width="14.00390625" style="63" customWidth="1"/>
    <col min="10" max="51" width="9.140625" style="63" customWidth="1"/>
    <col min="52" max="52" width="0" style="63" hidden="1" customWidth="1"/>
    <col min="53" max="53" width="11.140625" style="141" hidden="1" customWidth="1"/>
    <col min="54" max="54" width="9.140625" style="142" customWidth="1"/>
    <col min="55" max="16384" width="9.140625" style="63" customWidth="1"/>
  </cols>
  <sheetData>
    <row r="1" spans="1:9" ht="13.5" thickBot="1">
      <c r="A1" s="89"/>
      <c r="B1" s="90"/>
      <c r="C1" s="81"/>
      <c r="D1" s="81"/>
      <c r="E1" s="81"/>
      <c r="F1" s="81"/>
      <c r="G1" s="81"/>
      <c r="H1" s="81"/>
      <c r="I1" s="81"/>
    </row>
    <row r="2" spans="1:9" ht="30" customHeight="1" thickBot="1" thickTop="1">
      <c r="A2" s="89"/>
      <c r="B2" s="597" t="s">
        <v>352</v>
      </c>
      <c r="C2" s="598"/>
      <c r="D2" s="598"/>
      <c r="E2" s="598"/>
      <c r="F2" s="598"/>
      <c r="G2" s="598"/>
      <c r="H2" s="598"/>
      <c r="I2" s="599"/>
    </row>
    <row r="3" spans="1:9" ht="19.5" customHeight="1" thickTop="1">
      <c r="A3" s="89"/>
      <c r="B3" s="90"/>
      <c r="C3" s="81"/>
      <c r="D3" s="81"/>
      <c r="E3" s="81"/>
      <c r="F3" s="81"/>
      <c r="G3" s="81"/>
      <c r="H3" s="81"/>
      <c r="I3" s="81"/>
    </row>
    <row r="4" spans="1:9" ht="19.5" customHeight="1">
      <c r="A4" s="91" t="s">
        <v>375</v>
      </c>
      <c r="B4" s="612"/>
      <c r="C4" s="612"/>
      <c r="D4" s="612"/>
      <c r="E4" s="612"/>
      <c r="F4" s="612"/>
      <c r="G4" s="612"/>
      <c r="H4" s="612"/>
      <c r="I4" s="612"/>
    </row>
    <row r="5" spans="1:9" ht="19.5" customHeight="1">
      <c r="A5" s="91" t="s">
        <v>376</v>
      </c>
      <c r="B5" s="613"/>
      <c r="C5" s="613"/>
      <c r="D5" s="613"/>
      <c r="E5" s="613"/>
      <c r="F5" s="613"/>
      <c r="G5" s="613"/>
      <c r="H5" s="613"/>
      <c r="I5" s="613"/>
    </row>
    <row r="6" spans="1:9" ht="15" customHeight="1">
      <c r="A6" s="92"/>
      <c r="B6" s="93"/>
      <c r="C6" s="94"/>
      <c r="D6" s="94"/>
      <c r="E6" s="94"/>
      <c r="F6" s="94"/>
      <c r="G6" s="94"/>
      <c r="H6" s="81"/>
      <c r="I6" s="81"/>
    </row>
    <row r="7" spans="1:9" ht="15" customHeight="1">
      <c r="A7" s="92"/>
      <c r="B7" s="93"/>
      <c r="C7" s="94"/>
      <c r="D7" s="94"/>
      <c r="E7" s="94"/>
      <c r="F7" s="94"/>
      <c r="G7" s="94"/>
      <c r="H7" s="81"/>
      <c r="I7" s="81"/>
    </row>
    <row r="8" spans="1:9" ht="15" customHeight="1">
      <c r="A8" s="92"/>
      <c r="B8" s="93"/>
      <c r="C8" s="94"/>
      <c r="D8" s="94"/>
      <c r="E8" s="94"/>
      <c r="F8" s="94"/>
      <c r="G8" s="94"/>
      <c r="H8" s="81"/>
      <c r="I8" s="81"/>
    </row>
    <row r="9" spans="1:9" ht="15" customHeight="1">
      <c r="A9" s="92"/>
      <c r="B9" s="93"/>
      <c r="C9" s="94"/>
      <c r="D9" s="94"/>
      <c r="E9" s="94"/>
      <c r="F9" s="94"/>
      <c r="G9" s="94"/>
      <c r="H9" s="81"/>
      <c r="I9" s="81"/>
    </row>
    <row r="10" spans="1:9" ht="15" customHeight="1">
      <c r="A10" s="92"/>
      <c r="B10" s="93"/>
      <c r="C10" s="94"/>
      <c r="D10" s="94"/>
      <c r="E10" s="94"/>
      <c r="F10" s="94"/>
      <c r="G10" s="94"/>
      <c r="H10" s="81"/>
      <c r="I10" s="81"/>
    </row>
    <row r="11" spans="1:9" ht="15" customHeight="1">
      <c r="A11" s="92"/>
      <c r="B11" s="93"/>
      <c r="C11" s="94"/>
      <c r="D11" s="94"/>
      <c r="E11" s="94"/>
      <c r="F11" s="94"/>
      <c r="G11" s="94"/>
      <c r="H11" s="81"/>
      <c r="I11" s="81"/>
    </row>
    <row r="12" spans="1:9" ht="15" customHeight="1">
      <c r="A12" s="92"/>
      <c r="B12" s="93"/>
      <c r="C12" s="94"/>
      <c r="D12" s="94"/>
      <c r="E12" s="94"/>
      <c r="F12" s="94"/>
      <c r="G12" s="94"/>
      <c r="H12" s="81"/>
      <c r="I12" s="81"/>
    </row>
    <row r="13" spans="1:9" ht="15" customHeight="1">
      <c r="A13" s="92"/>
      <c r="B13" s="95"/>
      <c r="C13" s="81"/>
      <c r="D13" s="81"/>
      <c r="E13" s="81"/>
      <c r="F13" s="81"/>
      <c r="G13" s="81"/>
      <c r="H13" s="81"/>
      <c r="I13" s="81"/>
    </row>
    <row r="14" spans="1:9" ht="15" customHeight="1">
      <c r="A14" s="92"/>
      <c r="B14" s="95"/>
      <c r="C14" s="81"/>
      <c r="D14" s="81"/>
      <c r="E14" s="81"/>
      <c r="F14" s="81"/>
      <c r="G14" s="81"/>
      <c r="H14" s="81"/>
      <c r="I14" s="81"/>
    </row>
    <row r="15" spans="1:9" ht="15" customHeight="1">
      <c r="A15" s="92"/>
      <c r="B15" s="95"/>
      <c r="C15" s="81"/>
      <c r="D15" s="81"/>
      <c r="E15" s="81"/>
      <c r="F15" s="81"/>
      <c r="G15" s="81"/>
      <c r="H15" s="81"/>
      <c r="I15" s="81"/>
    </row>
    <row r="16" spans="1:9" ht="15" customHeight="1">
      <c r="A16" s="92"/>
      <c r="B16" s="95"/>
      <c r="C16" s="81"/>
      <c r="D16" s="81"/>
      <c r="E16" s="81"/>
      <c r="F16" s="81"/>
      <c r="G16" s="81"/>
      <c r="H16" s="81"/>
      <c r="I16" s="81"/>
    </row>
    <row r="17" spans="1:9" ht="15" customHeight="1">
      <c r="A17" s="92"/>
      <c r="B17" s="96"/>
      <c r="C17" s="97"/>
      <c r="D17" s="97"/>
      <c r="E17" s="97"/>
      <c r="F17" s="97"/>
      <c r="G17" s="81"/>
      <c r="H17" s="81"/>
      <c r="I17" s="81"/>
    </row>
    <row r="18" spans="1:58" ht="15" customHeight="1">
      <c r="A18" s="98"/>
      <c r="B18" s="99"/>
      <c r="C18" s="99"/>
      <c r="D18" s="99"/>
      <c r="E18" s="99"/>
      <c r="F18" s="81"/>
      <c r="G18" s="97"/>
      <c r="H18" s="97"/>
      <c r="I18" s="97"/>
      <c r="J18" s="51"/>
      <c r="BA18" s="63"/>
      <c r="BB18" s="63"/>
      <c r="BE18" s="141"/>
      <c r="BF18" s="142"/>
    </row>
    <row r="19" spans="1:58" ht="15" customHeight="1">
      <c r="A19" s="98"/>
      <c r="B19" s="99"/>
      <c r="C19" s="99"/>
      <c r="D19" s="99"/>
      <c r="E19" s="99"/>
      <c r="F19" s="81"/>
      <c r="G19" s="81"/>
      <c r="H19" s="81"/>
      <c r="I19" s="81"/>
      <c r="J19" s="51"/>
      <c r="BA19" s="63"/>
      <c r="BB19" s="63"/>
      <c r="BE19" s="141"/>
      <c r="BF19" s="142"/>
    </row>
    <row r="20" spans="1:58" ht="13.5" thickBot="1">
      <c r="A20" s="98"/>
      <c r="B20" s="99"/>
      <c r="C20" s="99"/>
      <c r="D20" s="99"/>
      <c r="E20" s="99"/>
      <c r="F20" s="81"/>
      <c r="G20" s="81"/>
      <c r="H20" s="81"/>
      <c r="I20" s="81"/>
      <c r="J20" s="51"/>
      <c r="BA20" s="63"/>
      <c r="BB20" s="63"/>
      <c r="BE20" s="141"/>
      <c r="BF20" s="142"/>
    </row>
    <row r="21" spans="1:58" ht="9.75" customHeight="1" thickTop="1">
      <c r="A21" s="92"/>
      <c r="B21" s="100"/>
      <c r="C21" s="101"/>
      <c r="D21" s="101"/>
      <c r="E21" s="101"/>
      <c r="F21" s="102"/>
      <c r="G21" s="102"/>
      <c r="H21" s="102"/>
      <c r="I21" s="103"/>
      <c r="J21" s="51"/>
      <c r="BA21" s="63"/>
      <c r="BB21" s="63"/>
      <c r="BE21" s="141"/>
      <c r="BF21" s="142"/>
    </row>
    <row r="22" spans="1:58" ht="13.5" customHeight="1">
      <c r="A22" s="92"/>
      <c r="B22" s="104" t="s">
        <v>107</v>
      </c>
      <c r="C22" s="105"/>
      <c r="D22" s="105"/>
      <c r="E22" s="105"/>
      <c r="F22" s="97"/>
      <c r="G22" s="106"/>
      <c r="H22" s="107"/>
      <c r="I22" s="108"/>
      <c r="J22" s="51"/>
      <c r="BA22" s="63"/>
      <c r="BB22" s="63"/>
      <c r="BE22" s="141"/>
      <c r="BF22" s="142"/>
    </row>
    <row r="23" spans="1:58" ht="13.5" customHeight="1">
      <c r="A23" s="92"/>
      <c r="B23" s="109" t="s">
        <v>12</v>
      </c>
      <c r="C23" s="106" t="s">
        <v>11</v>
      </c>
      <c r="D23" s="298"/>
      <c r="E23" s="97" t="s">
        <v>1</v>
      </c>
      <c r="F23" s="123" t="s">
        <v>335</v>
      </c>
      <c r="G23" s="106" t="s">
        <v>319</v>
      </c>
      <c r="H23" s="299"/>
      <c r="I23" s="108" t="s">
        <v>2</v>
      </c>
      <c r="J23" s="51"/>
      <c r="BA23" s="63"/>
      <c r="BB23" s="63"/>
      <c r="BE23" s="141"/>
      <c r="BF23" s="142"/>
    </row>
    <row r="24" spans="1:58" ht="13.5" customHeight="1">
      <c r="A24" s="308"/>
      <c r="B24" s="129"/>
      <c r="C24" s="81"/>
      <c r="D24" s="309"/>
      <c r="E24" s="81"/>
      <c r="F24" s="123" t="s">
        <v>90</v>
      </c>
      <c r="G24" s="106" t="s">
        <v>294</v>
      </c>
      <c r="H24" s="38"/>
      <c r="I24" s="108" t="s">
        <v>1</v>
      </c>
      <c r="J24" s="51"/>
      <c r="BA24" s="63"/>
      <c r="BB24" s="63"/>
      <c r="BE24" s="141"/>
      <c r="BF24" s="142"/>
    </row>
    <row r="25" spans="1:58" ht="13.5" customHeight="1">
      <c r="A25" s="310"/>
      <c r="B25" s="109" t="s">
        <v>204</v>
      </c>
      <c r="C25" s="106" t="s">
        <v>191</v>
      </c>
      <c r="D25" s="299"/>
      <c r="E25" s="97" t="s">
        <v>2</v>
      </c>
      <c r="F25" s="123" t="s">
        <v>418</v>
      </c>
      <c r="G25" s="106" t="s">
        <v>419</v>
      </c>
      <c r="H25" s="39"/>
      <c r="I25" s="108"/>
      <c r="J25" s="51"/>
      <c r="BA25" s="63"/>
      <c r="BB25" s="63"/>
      <c r="BE25" s="141"/>
      <c r="BF25" s="142"/>
    </row>
    <row r="26" spans="1:58" ht="13.5" customHeight="1">
      <c r="A26" s="310"/>
      <c r="B26" s="109" t="s">
        <v>205</v>
      </c>
      <c r="C26" s="106" t="s">
        <v>18</v>
      </c>
      <c r="D26" s="38"/>
      <c r="E26" s="97" t="s">
        <v>1</v>
      </c>
      <c r="F26" s="123" t="s">
        <v>380</v>
      </c>
      <c r="G26" s="106" t="s">
        <v>324</v>
      </c>
      <c r="H26" s="38"/>
      <c r="I26" s="108" t="s">
        <v>2</v>
      </c>
      <c r="J26" s="51"/>
      <c r="K26" s="56"/>
      <c r="BA26" s="63"/>
      <c r="BB26" s="63"/>
      <c r="BE26" s="141"/>
      <c r="BF26" s="142"/>
    </row>
    <row r="27" spans="1:58" ht="13.5" customHeight="1">
      <c r="A27" s="310"/>
      <c r="B27" s="109" t="s">
        <v>206</v>
      </c>
      <c r="C27" s="106" t="s">
        <v>20</v>
      </c>
      <c r="D27" s="38"/>
      <c r="E27" s="97" t="s">
        <v>1</v>
      </c>
      <c r="F27" s="123" t="s">
        <v>93</v>
      </c>
      <c r="G27" s="106" t="s">
        <v>292</v>
      </c>
      <c r="H27" s="38"/>
      <c r="I27" s="108" t="s">
        <v>1</v>
      </c>
      <c r="J27" s="51"/>
      <c r="K27" s="56"/>
      <c r="BA27" s="63"/>
      <c r="BB27" s="63"/>
      <c r="BE27" s="141"/>
      <c r="BF27" s="142"/>
    </row>
    <row r="28" spans="1:58" ht="13.5" customHeight="1">
      <c r="A28" s="310"/>
      <c r="B28" s="109" t="s">
        <v>425</v>
      </c>
      <c r="C28" s="106" t="s">
        <v>421</v>
      </c>
      <c r="D28" s="39"/>
      <c r="E28" s="97"/>
      <c r="F28" s="123" t="s">
        <v>417</v>
      </c>
      <c r="G28" s="106" t="s">
        <v>420</v>
      </c>
      <c r="H28" s="39"/>
      <c r="I28" s="108"/>
      <c r="J28" s="51"/>
      <c r="K28" s="56"/>
      <c r="BA28" s="63"/>
      <c r="BB28" s="63"/>
      <c r="BE28" s="141"/>
      <c r="BF28" s="142"/>
    </row>
    <row r="29" spans="1:58" ht="13.5" customHeight="1">
      <c r="A29" s="310"/>
      <c r="B29" s="109" t="s">
        <v>426</v>
      </c>
      <c r="C29" s="106" t="s">
        <v>428</v>
      </c>
      <c r="D29" s="39"/>
      <c r="E29" s="97"/>
      <c r="F29" s="81"/>
      <c r="G29" s="81"/>
      <c r="H29" s="81"/>
      <c r="I29" s="110"/>
      <c r="J29" s="51"/>
      <c r="K29" s="56"/>
      <c r="BA29" s="63"/>
      <c r="BB29" s="63"/>
      <c r="BE29" s="141"/>
      <c r="BF29" s="142"/>
    </row>
    <row r="30" spans="1:58" ht="13.5" customHeight="1">
      <c r="A30" s="310"/>
      <c r="B30" s="129" t="s">
        <v>427</v>
      </c>
      <c r="C30" s="81"/>
      <c r="D30" s="107"/>
      <c r="E30" s="81"/>
      <c r="F30" s="81"/>
      <c r="G30" s="81"/>
      <c r="H30" s="81"/>
      <c r="I30" s="110"/>
      <c r="J30" s="51"/>
      <c r="K30" s="56"/>
      <c r="BA30" s="63"/>
      <c r="BB30" s="63"/>
      <c r="BE30" s="141"/>
      <c r="BF30" s="142"/>
    </row>
    <row r="31" spans="1:58" ht="13.5" customHeight="1">
      <c r="A31" s="310"/>
      <c r="B31" s="114" t="s">
        <v>202</v>
      </c>
      <c r="C31" s="121" t="s">
        <v>295</v>
      </c>
      <c r="D31" s="300"/>
      <c r="E31" s="112" t="s">
        <v>2</v>
      </c>
      <c r="F31" s="122" t="s">
        <v>357</v>
      </c>
      <c r="G31" s="121" t="s">
        <v>333</v>
      </c>
      <c r="H31" s="301"/>
      <c r="I31" s="124" t="s">
        <v>2</v>
      </c>
      <c r="J31" s="51"/>
      <c r="K31" s="56"/>
      <c r="BA31" s="63"/>
      <c r="BB31" s="63"/>
      <c r="BE31" s="141"/>
      <c r="BF31" s="142"/>
    </row>
    <row r="32" spans="1:58" ht="9.75" customHeight="1" thickBot="1">
      <c r="A32" s="310"/>
      <c r="B32" s="115"/>
      <c r="C32" s="116"/>
      <c r="D32" s="116"/>
      <c r="E32" s="116"/>
      <c r="F32" s="107"/>
      <c r="G32" s="107"/>
      <c r="H32" s="107"/>
      <c r="I32" s="110"/>
      <c r="J32" s="51"/>
      <c r="K32" s="56"/>
      <c r="BA32" s="63"/>
      <c r="BB32" s="63"/>
      <c r="BE32" s="141"/>
      <c r="BF32" s="142"/>
    </row>
    <row r="33" spans="1:58" ht="9.75" customHeight="1" thickTop="1">
      <c r="A33" s="310"/>
      <c r="B33" s="117"/>
      <c r="C33" s="118"/>
      <c r="D33" s="119"/>
      <c r="E33" s="118"/>
      <c r="F33" s="102"/>
      <c r="G33" s="102"/>
      <c r="H33" s="102"/>
      <c r="I33" s="103"/>
      <c r="J33" s="51"/>
      <c r="K33" s="56"/>
      <c r="BA33" s="63"/>
      <c r="BB33" s="63"/>
      <c r="BE33" s="141"/>
      <c r="BF33" s="142"/>
    </row>
    <row r="34" spans="1:58" ht="13.5" customHeight="1">
      <c r="A34" s="310"/>
      <c r="B34" s="114" t="s">
        <v>208</v>
      </c>
      <c r="C34" s="106"/>
      <c r="D34" s="120"/>
      <c r="E34" s="97"/>
      <c r="F34" s="122" t="s">
        <v>203</v>
      </c>
      <c r="G34" s="97"/>
      <c r="H34" s="120"/>
      <c r="I34" s="108"/>
      <c r="J34" s="51"/>
      <c r="K34" s="56"/>
      <c r="L34" s="56"/>
      <c r="BA34" s="63"/>
      <c r="BB34" s="63"/>
      <c r="BE34" s="141"/>
      <c r="BF34" s="142"/>
    </row>
    <row r="35" spans="1:58" ht="13.5" customHeight="1">
      <c r="A35" s="310"/>
      <c r="B35" s="109" t="s">
        <v>99</v>
      </c>
      <c r="C35" s="106" t="s">
        <v>212</v>
      </c>
      <c r="D35" s="9">
        <f>IF($BA$201="","",$BA$201)</f>
      </c>
      <c r="E35" s="97" t="s">
        <v>2</v>
      </c>
      <c r="F35" s="123" t="s">
        <v>99</v>
      </c>
      <c r="G35" s="106" t="s">
        <v>100</v>
      </c>
      <c r="H35" s="9">
        <f>IF($BA$201="","",$BA$201)</f>
      </c>
      <c r="I35" s="108" t="s">
        <v>2</v>
      </c>
      <c r="J35" s="51"/>
      <c r="K35" s="56"/>
      <c r="L35" s="56"/>
      <c r="BA35" s="63"/>
      <c r="BB35" s="63"/>
      <c r="BE35" s="141"/>
      <c r="BF35" s="142"/>
    </row>
    <row r="36" spans="1:58" ht="13.5" customHeight="1">
      <c r="A36" s="310"/>
      <c r="B36" s="109" t="s">
        <v>97</v>
      </c>
      <c r="C36" s="106" t="s">
        <v>290</v>
      </c>
      <c r="D36" s="11">
        <f>IF($BA$202="","",$BA$202)</f>
      </c>
      <c r="E36" s="97" t="s">
        <v>28</v>
      </c>
      <c r="F36" s="123" t="s">
        <v>97</v>
      </c>
      <c r="G36" s="106" t="s">
        <v>297</v>
      </c>
      <c r="H36" s="11">
        <f>IF($BA$211="","",$BA$211)</f>
      </c>
      <c r="I36" s="108" t="s">
        <v>28</v>
      </c>
      <c r="J36" s="51"/>
      <c r="K36" s="56"/>
      <c r="L36" s="56"/>
      <c r="BA36" s="63"/>
      <c r="BB36" s="63"/>
      <c r="BE36" s="141"/>
      <c r="BF36" s="142"/>
    </row>
    <row r="37" spans="1:58" ht="13.5" customHeight="1">
      <c r="A37" s="310"/>
      <c r="B37" s="109" t="s">
        <v>98</v>
      </c>
      <c r="C37" s="106" t="s">
        <v>296</v>
      </c>
      <c r="D37" s="11">
        <f>IF($BA$203="","",$BA$203)</f>
      </c>
      <c r="E37" s="97" t="s">
        <v>2</v>
      </c>
      <c r="F37" s="123" t="s">
        <v>98</v>
      </c>
      <c r="G37" s="106" t="s">
        <v>298</v>
      </c>
      <c r="H37" s="11">
        <f>IF($BA$212="","",$BA$212)</f>
      </c>
      <c r="I37" s="108" t="s">
        <v>2</v>
      </c>
      <c r="J37" s="51"/>
      <c r="BA37" s="63"/>
      <c r="BB37" s="63"/>
      <c r="BE37" s="141"/>
      <c r="BF37" s="142"/>
    </row>
    <row r="38" spans="1:58" ht="13.5" customHeight="1">
      <c r="A38" s="310"/>
      <c r="B38" s="114" t="s">
        <v>310</v>
      </c>
      <c r="C38" s="121" t="s">
        <v>209</v>
      </c>
      <c r="D38" s="16">
        <f>IF($BA$204="","",$BA$204)</f>
      </c>
      <c r="E38" s="112" t="s">
        <v>4</v>
      </c>
      <c r="F38" s="122" t="s">
        <v>23</v>
      </c>
      <c r="G38" s="121" t="s">
        <v>349</v>
      </c>
      <c r="H38" s="16">
        <f>IF($BA$213="","",$BA$213)</f>
      </c>
      <c r="I38" s="124" t="s">
        <v>4</v>
      </c>
      <c r="J38" s="51"/>
      <c r="BA38" s="63"/>
      <c r="BB38" s="63"/>
      <c r="BE38" s="141"/>
      <c r="BF38" s="142"/>
    </row>
    <row r="39" spans="1:58" ht="13.5" customHeight="1">
      <c r="A39" s="310"/>
      <c r="B39" s="114" t="s">
        <v>243</v>
      </c>
      <c r="C39" s="121" t="s">
        <v>311</v>
      </c>
      <c r="D39" s="16">
        <f>IF($BA$205="","",$BA$205)</f>
      </c>
      <c r="E39" s="112" t="s">
        <v>3</v>
      </c>
      <c r="F39" s="122" t="s">
        <v>243</v>
      </c>
      <c r="G39" s="121" t="s">
        <v>244</v>
      </c>
      <c r="H39" s="16">
        <f>IF($BA$214="","",$BA$214)</f>
      </c>
      <c r="I39" s="124" t="s">
        <v>3</v>
      </c>
      <c r="J39" s="51"/>
      <c r="BA39" s="63"/>
      <c r="BB39" s="63"/>
      <c r="BE39" s="141"/>
      <c r="BF39" s="142"/>
    </row>
    <row r="40" spans="1:58" ht="13.5" customHeight="1">
      <c r="A40" s="310"/>
      <c r="B40" s="114" t="s">
        <v>101</v>
      </c>
      <c r="C40" s="121" t="s">
        <v>213</v>
      </c>
      <c r="D40" s="18">
        <f>IF($BA$206="","",$BA$206)</f>
      </c>
      <c r="E40" s="112"/>
      <c r="F40" s="122" t="s">
        <v>101</v>
      </c>
      <c r="G40" s="121" t="s">
        <v>358</v>
      </c>
      <c r="H40" s="21">
        <f>IF($BA$215="","",$BA$215)</f>
      </c>
      <c r="I40" s="124"/>
      <c r="J40" s="51"/>
      <c r="BA40" s="63"/>
      <c r="BB40" s="63"/>
      <c r="BE40" s="141"/>
      <c r="BF40" s="142"/>
    </row>
    <row r="41" spans="1:58" ht="13.5" customHeight="1">
      <c r="A41" s="310"/>
      <c r="B41" s="109" t="s">
        <v>354</v>
      </c>
      <c r="C41" s="106" t="s">
        <v>345</v>
      </c>
      <c r="D41" s="13">
        <f>IF($BA$207="","",$BA$207)</f>
      </c>
      <c r="E41" s="97" t="s">
        <v>3</v>
      </c>
      <c r="F41" s="123" t="s">
        <v>288</v>
      </c>
      <c r="G41" s="106" t="s">
        <v>312</v>
      </c>
      <c r="H41" s="11">
        <f>IF($BA$216="","",$BA$216)</f>
      </c>
      <c r="I41" s="108" t="s">
        <v>3</v>
      </c>
      <c r="J41" s="283"/>
      <c r="K41" s="56"/>
      <c r="L41" s="51"/>
      <c r="BA41" s="63"/>
      <c r="BB41" s="63"/>
      <c r="BE41" s="141"/>
      <c r="BF41" s="142"/>
    </row>
    <row r="42" spans="1:58" ht="13.5" customHeight="1">
      <c r="A42" s="310"/>
      <c r="B42" s="109" t="s">
        <v>355</v>
      </c>
      <c r="C42" s="106" t="s">
        <v>346</v>
      </c>
      <c r="D42" s="13">
        <f>IF($BA$208="","",$BA$208)</f>
      </c>
      <c r="E42" s="97" t="s">
        <v>2</v>
      </c>
      <c r="F42" s="123" t="s">
        <v>289</v>
      </c>
      <c r="G42" s="106" t="s">
        <v>313</v>
      </c>
      <c r="H42" s="11">
        <f>IF($BA$217="","",$BA$217)</f>
      </c>
      <c r="I42" s="108" t="s">
        <v>2</v>
      </c>
      <c r="J42" s="51"/>
      <c r="K42" s="56"/>
      <c r="BA42" s="63"/>
      <c r="BB42" s="63"/>
      <c r="BE42" s="141"/>
      <c r="BF42" s="142"/>
    </row>
    <row r="43" spans="1:58" ht="9.75" customHeight="1">
      <c r="A43" s="310"/>
      <c r="B43" s="115"/>
      <c r="C43" s="105"/>
      <c r="D43" s="116"/>
      <c r="E43" s="116"/>
      <c r="F43" s="107"/>
      <c r="G43" s="125"/>
      <c r="H43" s="107"/>
      <c r="I43" s="110"/>
      <c r="J43" s="51"/>
      <c r="L43" s="51"/>
      <c r="BA43" s="63"/>
      <c r="BB43" s="63"/>
      <c r="BE43" s="141"/>
      <c r="BF43" s="142"/>
    </row>
    <row r="44" spans="1:58" ht="13.5" customHeight="1">
      <c r="A44" s="310"/>
      <c r="B44" s="114" t="s">
        <v>340</v>
      </c>
      <c r="C44" s="106"/>
      <c r="D44" s="120"/>
      <c r="E44" s="97"/>
      <c r="F44" s="122" t="s">
        <v>341</v>
      </c>
      <c r="G44" s="106"/>
      <c r="H44" s="120"/>
      <c r="I44" s="108"/>
      <c r="J44" s="51"/>
      <c r="L44" s="51"/>
      <c r="BA44" s="63"/>
      <c r="BB44" s="63"/>
      <c r="BE44" s="141"/>
      <c r="BF44" s="142"/>
    </row>
    <row r="45" spans="1:58" ht="13.5" customHeight="1">
      <c r="A45" s="310"/>
      <c r="B45" s="109" t="s">
        <v>99</v>
      </c>
      <c r="C45" s="106" t="s">
        <v>318</v>
      </c>
      <c r="D45" s="9">
        <f>IF($BA$219="","",$BA$219)</f>
      </c>
      <c r="E45" s="97" t="s">
        <v>2</v>
      </c>
      <c r="F45" s="123" t="s">
        <v>99</v>
      </c>
      <c r="G45" s="106" t="s">
        <v>325</v>
      </c>
      <c r="H45" s="9">
        <f>IF($BA$229="","",$BA$229)</f>
      </c>
      <c r="I45" s="108" t="s">
        <v>2</v>
      </c>
      <c r="J45" s="51"/>
      <c r="L45" s="51"/>
      <c r="BA45" s="63"/>
      <c r="BB45" s="63"/>
      <c r="BE45" s="141"/>
      <c r="BF45" s="142"/>
    </row>
    <row r="46" spans="1:58" ht="13.5" customHeight="1">
      <c r="A46" s="310"/>
      <c r="B46" s="109" t="s">
        <v>97</v>
      </c>
      <c r="C46" s="106" t="s">
        <v>320</v>
      </c>
      <c r="D46" s="536">
        <f>IF($BA$220="","",$BA$220)</f>
      </c>
      <c r="E46" s="97" t="s">
        <v>28</v>
      </c>
      <c r="F46" s="123" t="s">
        <v>97</v>
      </c>
      <c r="G46" s="106" t="s">
        <v>326</v>
      </c>
      <c r="H46" s="536">
        <f>IF($BA$230="","",$BA$230)</f>
      </c>
      <c r="I46" s="108" t="s">
        <v>28</v>
      </c>
      <c r="J46" s="51"/>
      <c r="K46" s="56"/>
      <c r="BA46" s="63"/>
      <c r="BB46" s="63"/>
      <c r="BE46" s="141"/>
      <c r="BF46" s="142"/>
    </row>
    <row r="47" spans="1:58" ht="13.5" customHeight="1">
      <c r="A47" s="310"/>
      <c r="B47" s="109" t="s">
        <v>98</v>
      </c>
      <c r="C47" s="106" t="s">
        <v>331</v>
      </c>
      <c r="D47" s="536">
        <f>IF($BA$221="","",$BA$221)</f>
      </c>
      <c r="E47" s="97" t="s">
        <v>2</v>
      </c>
      <c r="F47" s="123" t="s">
        <v>98</v>
      </c>
      <c r="G47" s="106" t="s">
        <v>327</v>
      </c>
      <c r="H47" s="536">
        <f>IF($BA$231="","",$BA$231)</f>
      </c>
      <c r="I47" s="108" t="s">
        <v>2</v>
      </c>
      <c r="J47" s="51"/>
      <c r="BA47" s="63"/>
      <c r="BB47" s="63"/>
      <c r="BE47" s="141"/>
      <c r="BF47" s="142"/>
    </row>
    <row r="48" spans="1:58" ht="13.5" customHeight="1">
      <c r="A48" s="310"/>
      <c r="B48" s="114" t="s">
        <v>23</v>
      </c>
      <c r="C48" s="121" t="s">
        <v>332</v>
      </c>
      <c r="D48" s="19">
        <f>IF($BA$222="","",$BA$222)</f>
      </c>
      <c r="E48" s="112" t="s">
        <v>4</v>
      </c>
      <c r="F48" s="122" t="s">
        <v>23</v>
      </c>
      <c r="G48" s="121" t="s">
        <v>328</v>
      </c>
      <c r="H48" s="19">
        <f>IF($BA$232="","",$BA$232)</f>
      </c>
      <c r="I48" s="124" t="s">
        <v>4</v>
      </c>
      <c r="J48" s="51"/>
      <c r="BA48" s="63"/>
      <c r="BB48" s="63"/>
      <c r="BE48" s="141"/>
      <c r="BF48" s="142"/>
    </row>
    <row r="49" spans="1:58" ht="13.5" customHeight="1">
      <c r="A49" s="310"/>
      <c r="B49" s="114" t="s">
        <v>243</v>
      </c>
      <c r="C49" s="121" t="s">
        <v>321</v>
      </c>
      <c r="D49" s="19">
        <f>IF($BA$223="","",$BA$223)</f>
      </c>
      <c r="E49" s="112" t="s">
        <v>3</v>
      </c>
      <c r="F49" s="122" t="s">
        <v>243</v>
      </c>
      <c r="G49" s="121" t="s">
        <v>334</v>
      </c>
      <c r="H49" s="19">
        <f>IF($BA$233="","",$BA$233)</f>
      </c>
      <c r="I49" s="124" t="s">
        <v>3</v>
      </c>
      <c r="J49" s="51"/>
      <c r="BA49" s="63"/>
      <c r="BB49" s="63"/>
      <c r="BE49" s="141"/>
      <c r="BF49" s="142"/>
    </row>
    <row r="50" spans="1:58" ht="13.5" customHeight="1">
      <c r="A50" s="310"/>
      <c r="B50" s="114" t="s">
        <v>101</v>
      </c>
      <c r="C50" s="121" t="s">
        <v>241</v>
      </c>
      <c r="D50" s="22">
        <f>IF($BA$224="","",$BA$224)</f>
      </c>
      <c r="E50" s="112"/>
      <c r="F50" s="122" t="s">
        <v>101</v>
      </c>
      <c r="G50" s="121" t="s">
        <v>242</v>
      </c>
      <c r="H50" s="22">
        <f>IF($BA$234="","",$BA$234)</f>
      </c>
      <c r="I50" s="124"/>
      <c r="J50" s="51"/>
      <c r="K50" s="56"/>
      <c r="BA50" s="63"/>
      <c r="BB50" s="63"/>
      <c r="BE50" s="141"/>
      <c r="BF50" s="142"/>
    </row>
    <row r="51" spans="1:58" ht="13.5" customHeight="1">
      <c r="A51" s="310"/>
      <c r="B51" s="109" t="s">
        <v>288</v>
      </c>
      <c r="C51" s="106" t="s">
        <v>322</v>
      </c>
      <c r="D51" s="9">
        <f>IF($BA$226="","",$BA$226)</f>
      </c>
      <c r="E51" s="97" t="s">
        <v>3</v>
      </c>
      <c r="F51" s="123" t="s">
        <v>288</v>
      </c>
      <c r="G51" s="106" t="s">
        <v>329</v>
      </c>
      <c r="H51" s="9">
        <f>IF($BA$236="","",$BA$236)</f>
      </c>
      <c r="I51" s="108" t="s">
        <v>3</v>
      </c>
      <c r="J51" s="51"/>
      <c r="BA51" s="63"/>
      <c r="BB51" s="63"/>
      <c r="BE51" s="141"/>
      <c r="BF51" s="142"/>
    </row>
    <row r="52" spans="1:58" ht="13.5" customHeight="1">
      <c r="A52" s="310"/>
      <c r="B52" s="109" t="s">
        <v>351</v>
      </c>
      <c r="C52" s="106" t="s">
        <v>323</v>
      </c>
      <c r="D52" s="9">
        <f>IF($BA$227="","",$BA$227)</f>
      </c>
      <c r="E52" s="97" t="s">
        <v>2</v>
      </c>
      <c r="F52" s="123" t="s">
        <v>351</v>
      </c>
      <c r="G52" s="106" t="s">
        <v>330</v>
      </c>
      <c r="H52" s="9">
        <f>IF($BA$237="","",$BA$237)</f>
      </c>
      <c r="I52" s="108" t="s">
        <v>2</v>
      </c>
      <c r="J52" s="51"/>
      <c r="BA52" s="63"/>
      <c r="BB52" s="63"/>
      <c r="BE52" s="141"/>
      <c r="BF52" s="142"/>
    </row>
    <row r="53" spans="1:58" ht="9.75" customHeight="1">
      <c r="A53" s="310"/>
      <c r="B53" s="129"/>
      <c r="C53" s="125"/>
      <c r="D53" s="107"/>
      <c r="E53" s="107"/>
      <c r="F53" s="107"/>
      <c r="G53" s="125"/>
      <c r="H53" s="107"/>
      <c r="I53" s="110"/>
      <c r="J53" s="51"/>
      <c r="BA53" s="63"/>
      <c r="BB53" s="63"/>
      <c r="BE53" s="141"/>
      <c r="BF53" s="142"/>
    </row>
    <row r="54" spans="1:58" ht="13.5" customHeight="1">
      <c r="A54" s="310"/>
      <c r="B54" s="114"/>
      <c r="C54" s="130" t="s">
        <v>315</v>
      </c>
      <c r="D54" s="120"/>
      <c r="E54" s="97"/>
      <c r="F54" s="107"/>
      <c r="G54" s="125"/>
      <c r="H54" s="127"/>
      <c r="I54" s="110"/>
      <c r="J54" s="51"/>
      <c r="K54" s="56"/>
      <c r="BA54" s="63"/>
      <c r="BB54" s="63"/>
      <c r="BE54" s="141"/>
      <c r="BF54" s="142"/>
    </row>
    <row r="55" spans="1:58" ht="13.5" customHeight="1">
      <c r="A55" s="310"/>
      <c r="B55" s="114" t="s">
        <v>99</v>
      </c>
      <c r="C55" s="121" t="s">
        <v>112</v>
      </c>
      <c r="D55" s="19">
        <f>IF($BA$239="","",$BA$239)</f>
      </c>
      <c r="E55" s="112" t="s">
        <v>2</v>
      </c>
      <c r="F55" s="122" t="s">
        <v>23</v>
      </c>
      <c r="G55" s="121" t="s">
        <v>102</v>
      </c>
      <c r="H55" s="19">
        <f>IF($BA$244="","",$BA$244)</f>
      </c>
      <c r="I55" s="124" t="s">
        <v>4</v>
      </c>
      <c r="J55" s="51"/>
      <c r="BA55" s="63"/>
      <c r="BB55" s="63"/>
      <c r="BE55" s="141"/>
      <c r="BF55" s="142"/>
    </row>
    <row r="56" spans="1:58" ht="13.5" customHeight="1">
      <c r="A56" s="128"/>
      <c r="B56" s="114" t="s">
        <v>359</v>
      </c>
      <c r="C56" s="121" t="s">
        <v>22</v>
      </c>
      <c r="D56" s="18">
        <f>IF($BA$235="","",$BA$235)</f>
      </c>
      <c r="E56" s="112" t="s">
        <v>2</v>
      </c>
      <c r="F56" s="122" t="s">
        <v>243</v>
      </c>
      <c r="G56" s="121" t="s">
        <v>9</v>
      </c>
      <c r="H56" s="16">
        <f>IF($BA$245="","",$BA$245)</f>
      </c>
      <c r="I56" s="124" t="s">
        <v>3</v>
      </c>
      <c r="J56" s="51"/>
      <c r="BA56" s="63"/>
      <c r="BB56" s="63"/>
      <c r="BE56" s="141"/>
      <c r="BF56" s="142"/>
    </row>
    <row r="57" spans="1:58" ht="13.5" customHeight="1">
      <c r="A57" s="203"/>
      <c r="B57" s="109" t="s">
        <v>97</v>
      </c>
      <c r="C57" s="106" t="s">
        <v>7</v>
      </c>
      <c r="D57" s="11">
        <f>IF($BA$240="","",$BA$240)</f>
      </c>
      <c r="E57" s="97" t="s">
        <v>28</v>
      </c>
      <c r="F57" s="122" t="s">
        <v>101</v>
      </c>
      <c r="G57" s="121" t="s">
        <v>36</v>
      </c>
      <c r="H57" s="21">
        <f>IF($BA$242="","",$BA$242)</f>
      </c>
      <c r="I57" s="124"/>
      <c r="J57" s="51"/>
      <c r="BA57" s="63"/>
      <c r="BB57" s="63"/>
      <c r="BE57" s="141"/>
      <c r="BF57" s="142"/>
    </row>
    <row r="58" spans="1:58" ht="13.5" customHeight="1">
      <c r="A58" s="203"/>
      <c r="B58" s="109" t="s">
        <v>98</v>
      </c>
      <c r="C58" s="106" t="s">
        <v>103</v>
      </c>
      <c r="D58" s="11">
        <f>IF($BA$241="","",$BA$241)</f>
      </c>
      <c r="E58" s="97" t="s">
        <v>2</v>
      </c>
      <c r="F58" s="123" t="s">
        <v>288</v>
      </c>
      <c r="G58" s="106" t="s">
        <v>316</v>
      </c>
      <c r="H58" s="9">
        <f>IF($BA$246="","",$BA$246)</f>
      </c>
      <c r="I58" s="108" t="s">
        <v>3</v>
      </c>
      <c r="J58" s="51"/>
      <c r="BA58" s="63"/>
      <c r="BB58" s="63"/>
      <c r="BE58" s="141"/>
      <c r="BF58" s="142"/>
    </row>
    <row r="59" spans="1:58" ht="13.5" customHeight="1">
      <c r="A59" s="308"/>
      <c r="B59" s="109" t="s">
        <v>423</v>
      </c>
      <c r="C59" s="106" t="s">
        <v>424</v>
      </c>
      <c r="D59" s="12">
        <f>IF($BA$243="","",$BA$243)</f>
      </c>
      <c r="E59" s="97"/>
      <c r="F59" s="123" t="s">
        <v>351</v>
      </c>
      <c r="G59" s="106" t="s">
        <v>314</v>
      </c>
      <c r="H59" s="13">
        <f>IF($BA$247="","",$BA$247)</f>
      </c>
      <c r="I59" s="108" t="s">
        <v>2</v>
      </c>
      <c r="J59" s="284"/>
      <c r="K59" s="56"/>
      <c r="BA59" s="63"/>
      <c r="BB59" s="63"/>
      <c r="BE59" s="141"/>
      <c r="BF59" s="142"/>
    </row>
    <row r="60" spans="1:58" s="286" customFormat="1" ht="9.75" customHeight="1" thickBot="1">
      <c r="A60" s="147"/>
      <c r="B60" s="134"/>
      <c r="C60" s="135"/>
      <c r="D60" s="135"/>
      <c r="E60" s="135"/>
      <c r="F60" s="135"/>
      <c r="G60" s="135"/>
      <c r="H60" s="135"/>
      <c r="I60" s="136"/>
      <c r="J60" s="285"/>
      <c r="BE60" s="287"/>
      <c r="BF60" s="288"/>
    </row>
    <row r="61" spans="1:58" s="286" customFormat="1" ht="15.75" thickTop="1">
      <c r="A61" s="537"/>
      <c r="B61" s="303"/>
      <c r="C61" s="304"/>
      <c r="D61" s="304"/>
      <c r="E61" s="304"/>
      <c r="F61" s="304"/>
      <c r="G61" s="304"/>
      <c r="H61" s="304"/>
      <c r="I61" s="538"/>
      <c r="J61" s="285"/>
      <c r="L61" s="290"/>
      <c r="BE61" s="287"/>
      <c r="BF61" s="288"/>
    </row>
    <row r="62" spans="1:58" s="286" customFormat="1" ht="15.75">
      <c r="A62" s="539"/>
      <c r="B62" s="285"/>
      <c r="C62" s="285"/>
      <c r="D62" s="285"/>
      <c r="E62" s="285"/>
      <c r="F62" s="304"/>
      <c r="G62" s="304"/>
      <c r="H62" s="304"/>
      <c r="I62" s="304"/>
      <c r="J62" s="285"/>
      <c r="BE62" s="287"/>
      <c r="BF62" s="288"/>
    </row>
    <row r="63" spans="1:58" s="286" customFormat="1" ht="15.75">
      <c r="A63" s="539"/>
      <c r="B63" s="285"/>
      <c r="C63" s="285"/>
      <c r="D63" s="285"/>
      <c r="E63" s="285"/>
      <c r="F63" s="304"/>
      <c r="G63" s="304"/>
      <c r="H63" s="304"/>
      <c r="I63" s="304"/>
      <c r="J63" s="285"/>
      <c r="BE63" s="287"/>
      <c r="BF63" s="288"/>
    </row>
    <row r="64" spans="1:58" ht="15.75">
      <c r="A64" s="539"/>
      <c r="B64" s="285"/>
      <c r="C64" s="285"/>
      <c r="D64" s="285"/>
      <c r="E64" s="285"/>
      <c r="F64" s="304"/>
      <c r="G64" s="304"/>
      <c r="H64" s="304"/>
      <c r="I64" s="304"/>
      <c r="J64" s="51"/>
      <c r="BA64" s="63"/>
      <c r="BB64" s="63"/>
      <c r="BE64" s="141"/>
      <c r="BF64" s="142"/>
    </row>
    <row r="65" spans="1:58" ht="15">
      <c r="A65" s="537"/>
      <c r="B65" s="285"/>
      <c r="C65" s="285"/>
      <c r="D65" s="285"/>
      <c r="E65" s="285"/>
      <c r="F65" s="304"/>
      <c r="G65" s="304"/>
      <c r="H65" s="304"/>
      <c r="I65" s="304"/>
      <c r="J65" s="51"/>
      <c r="M65" s="291"/>
      <c r="BA65" s="63"/>
      <c r="BB65" s="63"/>
      <c r="BE65" s="141"/>
      <c r="BF65" s="142"/>
    </row>
    <row r="66" spans="1:58" ht="15.75" customHeight="1">
      <c r="A66" s="537"/>
      <c r="B66" s="303"/>
      <c r="C66" s="304"/>
      <c r="D66" s="304"/>
      <c r="E66" s="304"/>
      <c r="F66" s="304"/>
      <c r="G66" s="304"/>
      <c r="H66" s="304"/>
      <c r="I66" s="304"/>
      <c r="J66" s="51"/>
      <c r="BA66" s="63"/>
      <c r="BB66" s="63"/>
      <c r="BE66" s="141"/>
      <c r="BF66" s="142"/>
    </row>
    <row r="67" spans="1:58" ht="12.75">
      <c r="A67" s="305"/>
      <c r="B67" s="303"/>
      <c r="C67" s="304"/>
      <c r="D67" s="304"/>
      <c r="E67" s="304"/>
      <c r="F67" s="304"/>
      <c r="G67" s="304"/>
      <c r="H67" s="304"/>
      <c r="I67" s="304"/>
      <c r="J67" s="51"/>
      <c r="BA67" s="63"/>
      <c r="BB67" s="63"/>
      <c r="BE67" s="141"/>
      <c r="BF67" s="142"/>
    </row>
    <row r="68" spans="1:58" ht="12.75">
      <c r="A68" s="306"/>
      <c r="B68" s="303"/>
      <c r="C68" s="304"/>
      <c r="D68" s="304"/>
      <c r="E68" s="304"/>
      <c r="F68" s="304"/>
      <c r="G68" s="304"/>
      <c r="H68" s="304"/>
      <c r="I68" s="304"/>
      <c r="J68" s="51"/>
      <c r="BA68" s="63"/>
      <c r="BB68" s="63"/>
      <c r="BE68" s="141"/>
      <c r="BF68" s="142"/>
    </row>
    <row r="69" spans="1:58" ht="12.75">
      <c r="A69" s="305"/>
      <c r="B69" s="303"/>
      <c r="C69" s="304"/>
      <c r="D69" s="304"/>
      <c r="E69" s="304"/>
      <c r="F69" s="304"/>
      <c r="G69" s="304"/>
      <c r="H69" s="304"/>
      <c r="I69" s="304"/>
      <c r="J69" s="51"/>
      <c r="BA69" s="63"/>
      <c r="BB69" s="63"/>
      <c r="BE69" s="141"/>
      <c r="BF69" s="142"/>
    </row>
    <row r="70" spans="1:58" ht="12.75">
      <c r="A70" s="305"/>
      <c r="B70" s="307"/>
      <c r="C70" s="307"/>
      <c r="D70" s="307"/>
      <c r="E70" s="307"/>
      <c r="F70" s="304"/>
      <c r="G70" s="304"/>
      <c r="H70" s="304"/>
      <c r="I70" s="304"/>
      <c r="J70" s="51"/>
      <c r="BA70" s="63"/>
      <c r="BB70" s="63"/>
      <c r="BE70" s="141"/>
      <c r="BF70" s="142"/>
    </row>
    <row r="71" spans="1:58" ht="12.75">
      <c r="A71" s="305"/>
      <c r="B71" s="307"/>
      <c r="C71" s="307"/>
      <c r="D71" s="307"/>
      <c r="E71" s="307"/>
      <c r="F71" s="304"/>
      <c r="G71" s="304"/>
      <c r="H71" s="304"/>
      <c r="I71" s="304"/>
      <c r="J71" s="51"/>
      <c r="L71" s="291"/>
      <c r="BA71" s="63"/>
      <c r="BB71" s="63"/>
      <c r="BE71" s="141"/>
      <c r="BF71" s="142"/>
    </row>
    <row r="72" spans="1:58" ht="12.75">
      <c r="A72" s="305"/>
      <c r="B72" s="307"/>
      <c r="C72" s="307"/>
      <c r="D72" s="307"/>
      <c r="E72" s="307"/>
      <c r="F72" s="304"/>
      <c r="G72" s="304"/>
      <c r="H72" s="304"/>
      <c r="I72" s="304"/>
      <c r="J72" s="51"/>
      <c r="BA72" s="63"/>
      <c r="BB72" s="63"/>
      <c r="BE72" s="141"/>
      <c r="BF72" s="142"/>
    </row>
    <row r="73" spans="1:58" ht="12.75">
      <c r="A73" s="305"/>
      <c r="B73" s="307"/>
      <c r="C73" s="307"/>
      <c r="D73" s="307"/>
      <c r="E73" s="307"/>
      <c r="F73" s="304"/>
      <c r="G73" s="304"/>
      <c r="H73" s="304"/>
      <c r="I73" s="304"/>
      <c r="J73" s="51"/>
      <c r="BA73" s="63"/>
      <c r="BB73" s="63"/>
      <c r="BE73" s="141"/>
      <c r="BF73" s="142"/>
    </row>
    <row r="74" spans="1:58" ht="15.75">
      <c r="A74" s="302"/>
      <c r="B74" s="294"/>
      <c r="C74" s="294"/>
      <c r="D74" s="294"/>
      <c r="E74" s="294"/>
      <c r="F74" s="277"/>
      <c r="G74" s="51"/>
      <c r="H74" s="58"/>
      <c r="I74" s="51"/>
      <c r="J74" s="51"/>
      <c r="BA74" s="63"/>
      <c r="BB74" s="63"/>
      <c r="BE74" s="141"/>
      <c r="BF74" s="142"/>
    </row>
    <row r="75" spans="1:58" ht="12.75" customHeight="1">
      <c r="A75" s="302"/>
      <c r="B75" s="294"/>
      <c r="C75" s="294"/>
      <c r="D75" s="294"/>
      <c r="E75" s="294"/>
      <c r="F75" s="280"/>
      <c r="G75" s="280"/>
      <c r="H75" s="280"/>
      <c r="I75" s="280"/>
      <c r="J75" s="51"/>
      <c r="BA75" s="63"/>
      <c r="BB75" s="63"/>
      <c r="BE75" s="141"/>
      <c r="BF75" s="142"/>
    </row>
    <row r="76" spans="1:58" ht="15.75">
      <c r="A76" s="302"/>
      <c r="B76" s="294"/>
      <c r="C76" s="294"/>
      <c r="D76" s="294"/>
      <c r="E76" s="294"/>
      <c r="F76" s="280"/>
      <c r="G76" s="280"/>
      <c r="H76" s="280"/>
      <c r="I76" s="280"/>
      <c r="J76" s="51"/>
      <c r="BA76" s="63"/>
      <c r="BB76" s="63"/>
      <c r="BE76" s="141"/>
      <c r="BF76" s="142"/>
    </row>
    <row r="77" spans="1:58" ht="15.75">
      <c r="A77" s="302"/>
      <c r="B77" s="294"/>
      <c r="C77" s="294"/>
      <c r="D77" s="294"/>
      <c r="E77" s="294"/>
      <c r="F77" s="280"/>
      <c r="G77" s="280"/>
      <c r="H77" s="280"/>
      <c r="I77" s="280"/>
      <c r="J77" s="51"/>
      <c r="BA77" s="63"/>
      <c r="BB77" s="63"/>
      <c r="BE77" s="141"/>
      <c r="BF77" s="142"/>
    </row>
    <row r="78" spans="1:58" ht="12.75">
      <c r="A78" s="302"/>
      <c r="B78" s="279"/>
      <c r="C78" s="279"/>
      <c r="D78" s="279"/>
      <c r="E78" s="279"/>
      <c r="J78" s="51"/>
      <c r="L78" s="291"/>
      <c r="BA78" s="63"/>
      <c r="BB78" s="63"/>
      <c r="BE78" s="141"/>
      <c r="BF78" s="142"/>
    </row>
    <row r="79" spans="1:58" ht="12.75">
      <c r="A79" s="302"/>
      <c r="B79" s="293"/>
      <c r="C79" s="293"/>
      <c r="D79" s="293"/>
      <c r="E79" s="293"/>
      <c r="J79" s="51"/>
      <c r="BA79" s="63"/>
      <c r="BB79" s="63"/>
      <c r="BE79" s="141"/>
      <c r="BF79" s="142"/>
    </row>
    <row r="80" spans="1:10" ht="12.75">
      <c r="A80" s="302"/>
      <c r="B80" s="293"/>
      <c r="C80" s="293"/>
      <c r="D80" s="293"/>
      <c r="E80" s="293"/>
      <c r="J80" s="280"/>
    </row>
    <row r="81" spans="1:10" ht="12.75">
      <c r="A81" s="302"/>
      <c r="B81" s="293"/>
      <c r="C81" s="293"/>
      <c r="D81" s="293"/>
      <c r="E81" s="293"/>
      <c r="J81" s="280"/>
    </row>
    <row r="82" spans="1:10" ht="12.75" customHeight="1">
      <c r="A82" s="302"/>
      <c r="B82" s="293"/>
      <c r="C82" s="293"/>
      <c r="D82" s="293"/>
      <c r="E82" s="293"/>
      <c r="J82" s="280"/>
    </row>
    <row r="83" spans="1:5" ht="12.75">
      <c r="A83" s="302"/>
      <c r="B83" s="293"/>
      <c r="C83" s="293"/>
      <c r="D83" s="293"/>
      <c r="E83" s="293"/>
    </row>
    <row r="84" spans="2:5" ht="12.75">
      <c r="B84" s="293"/>
      <c r="C84" s="293"/>
      <c r="D84" s="293"/>
      <c r="E84" s="293"/>
    </row>
    <row r="85" spans="2:5" ht="12.75">
      <c r="B85" s="293"/>
      <c r="C85" s="293"/>
      <c r="D85" s="293"/>
      <c r="E85" s="293"/>
    </row>
    <row r="86" spans="2:5" ht="12.75">
      <c r="B86" s="293"/>
      <c r="C86" s="293"/>
      <c r="D86" s="293"/>
      <c r="E86" s="293"/>
    </row>
    <row r="87" spans="2:5" ht="12.75">
      <c r="B87" s="293"/>
      <c r="C87" s="293"/>
      <c r="D87" s="293"/>
      <c r="E87" s="293"/>
    </row>
    <row r="88" spans="2:5" ht="12.75">
      <c r="B88" s="293"/>
      <c r="C88" s="293"/>
      <c r="D88" s="293"/>
      <c r="E88" s="293"/>
    </row>
    <row r="89" spans="2:5" ht="12.75">
      <c r="B89" s="295"/>
      <c r="C89" s="295"/>
      <c r="D89" s="295"/>
      <c r="E89" s="295"/>
    </row>
    <row r="90" spans="2:5" ht="12.75">
      <c r="B90" s="293"/>
      <c r="C90" s="293"/>
      <c r="D90" s="293"/>
      <c r="E90" s="293"/>
    </row>
    <row r="91" spans="2:5" ht="12.75">
      <c r="B91" s="295"/>
      <c r="C91" s="295"/>
      <c r="D91" s="295"/>
      <c r="E91" s="296"/>
    </row>
    <row r="92" spans="2:5" ht="12.75">
      <c r="B92" s="295"/>
      <c r="C92" s="295"/>
      <c r="D92" s="295"/>
      <c r="E92" s="296"/>
    </row>
    <row r="93" spans="2:5" ht="12.75">
      <c r="B93" s="295"/>
      <c r="C93" s="295"/>
      <c r="D93" s="295"/>
      <c r="E93" s="296"/>
    </row>
    <row r="94" spans="4:5" ht="12.75">
      <c r="D94" s="297"/>
      <c r="E94" s="280"/>
    </row>
    <row r="95" spans="4:5" ht="12.75">
      <c r="D95" s="297"/>
      <c r="E95" s="280"/>
    </row>
    <row r="96" spans="4:5" ht="12.75">
      <c r="D96" s="297"/>
      <c r="E96" s="280"/>
    </row>
    <row r="97" ht="12.75">
      <c r="D97" s="297"/>
    </row>
    <row r="98" ht="12.75">
      <c r="D98" s="297"/>
    </row>
    <row r="99" spans="3:4" ht="12.75">
      <c r="C99" s="145"/>
      <c r="D99" s="144"/>
    </row>
    <row r="100" spans="3:4" ht="12.75">
      <c r="C100" s="145"/>
      <c r="D100" s="297"/>
    </row>
    <row r="101" spans="3:4" ht="12.75">
      <c r="C101" s="145"/>
      <c r="D101" s="297"/>
    </row>
    <row r="102" spans="3:4" ht="12.75">
      <c r="C102" s="145"/>
      <c r="D102" s="144"/>
    </row>
    <row r="103" spans="3:4" ht="12.75">
      <c r="C103" s="145"/>
      <c r="D103" s="297"/>
    </row>
    <row r="104" spans="3:4" ht="12.75">
      <c r="C104" s="145"/>
      <c r="D104" s="297"/>
    </row>
    <row r="105" spans="3:4" ht="12.75">
      <c r="C105" s="145"/>
      <c r="D105" s="297"/>
    </row>
    <row r="106" spans="3:4" ht="12.75">
      <c r="C106" s="145"/>
      <c r="D106" s="297"/>
    </row>
    <row r="107" spans="3:4" ht="12.75">
      <c r="C107" s="145"/>
      <c r="D107" s="297"/>
    </row>
    <row r="108" spans="3:4" ht="12.75">
      <c r="C108" s="145"/>
      <c r="D108" s="297"/>
    </row>
    <row r="109" ht="12.75">
      <c r="D109" s="297"/>
    </row>
    <row r="110" ht="12.75">
      <c r="D110" s="297"/>
    </row>
    <row r="111" ht="12.75">
      <c r="D111" s="297"/>
    </row>
    <row r="112" ht="12.75">
      <c r="D112" s="297"/>
    </row>
    <row r="113" ht="12.75">
      <c r="D113" s="297"/>
    </row>
    <row r="114" ht="12.75">
      <c r="D114" s="297"/>
    </row>
    <row r="115" ht="12.75">
      <c r="D115" s="297"/>
    </row>
    <row r="116" ht="12.75">
      <c r="D116" s="297"/>
    </row>
    <row r="117" ht="12.75">
      <c r="D117" s="297"/>
    </row>
    <row r="118" ht="12.75">
      <c r="D118" s="297"/>
    </row>
    <row r="119" ht="12.75">
      <c r="D119" s="297"/>
    </row>
    <row r="120" ht="12.75">
      <c r="D120" s="297"/>
    </row>
    <row r="121" ht="12.75">
      <c r="D121" s="297"/>
    </row>
    <row r="122" ht="12.75">
      <c r="D122" s="297"/>
    </row>
    <row r="123" ht="12.75">
      <c r="D123" s="297"/>
    </row>
    <row r="124" ht="12.75">
      <c r="D124" s="297"/>
    </row>
    <row r="125" ht="12.75">
      <c r="D125" s="297"/>
    </row>
    <row r="126" ht="12.75">
      <c r="D126" s="297"/>
    </row>
    <row r="127" ht="12.75">
      <c r="D127" s="297"/>
    </row>
    <row r="128" ht="12.75">
      <c r="D128" s="297"/>
    </row>
    <row r="129" ht="12.75">
      <c r="D129" s="297"/>
    </row>
    <row r="130" ht="12.75">
      <c r="D130" s="297"/>
    </row>
    <row r="131" ht="12.75">
      <c r="D131" s="297"/>
    </row>
    <row r="132" ht="12.75">
      <c r="D132" s="297"/>
    </row>
    <row r="133" ht="12.75">
      <c r="D133" s="297"/>
    </row>
    <row r="134" ht="12.75">
      <c r="D134" s="297"/>
    </row>
    <row r="135" ht="12.75">
      <c r="D135" s="297"/>
    </row>
    <row r="136" ht="12.75">
      <c r="D136" s="297"/>
    </row>
    <row r="137" ht="12.75">
      <c r="D137" s="297"/>
    </row>
    <row r="138" ht="12.75">
      <c r="D138" s="297"/>
    </row>
    <row r="139" ht="12.75">
      <c r="D139" s="297"/>
    </row>
    <row r="140" ht="12.75">
      <c r="D140" s="297"/>
    </row>
    <row r="141" ht="12.75">
      <c r="D141" s="297"/>
    </row>
    <row r="142" ht="12.75">
      <c r="D142" s="297"/>
    </row>
    <row r="143" ht="12.75">
      <c r="D143" s="297"/>
    </row>
    <row r="144" ht="12.75">
      <c r="D144" s="297"/>
    </row>
    <row r="145" ht="12.75">
      <c r="D145" s="297"/>
    </row>
    <row r="146" ht="12.75">
      <c r="D146" s="297"/>
    </row>
    <row r="147" ht="12.75">
      <c r="D147" s="297"/>
    </row>
    <row r="148" ht="12.75">
      <c r="D148" s="297"/>
    </row>
    <row r="149" ht="12.75">
      <c r="D149" s="297"/>
    </row>
    <row r="150" ht="12.75">
      <c r="D150" s="297"/>
    </row>
    <row r="151" ht="12.75">
      <c r="D151" s="297"/>
    </row>
    <row r="152" ht="12.75">
      <c r="D152" s="297"/>
    </row>
    <row r="153" ht="12.75">
      <c r="D153" s="297"/>
    </row>
    <row r="154" ht="12.75">
      <c r="D154" s="297"/>
    </row>
    <row r="155" ht="12.75">
      <c r="D155" s="297"/>
    </row>
    <row r="156" ht="12.75">
      <c r="D156" s="297"/>
    </row>
    <row r="186" spans="52:53" ht="12.75">
      <c r="AZ186" s="143" t="s">
        <v>11</v>
      </c>
      <c r="BA186" s="141">
        <f>D23</f>
        <v>0</v>
      </c>
    </row>
    <row r="187" spans="52:53" ht="12.75">
      <c r="AZ187" s="143" t="s">
        <v>191</v>
      </c>
      <c r="BA187" s="141">
        <f>D25</f>
        <v>0</v>
      </c>
    </row>
    <row r="188" spans="52:53" ht="12.75">
      <c r="AZ188" s="143" t="s">
        <v>18</v>
      </c>
      <c r="BA188" s="141">
        <f>D26</f>
        <v>0</v>
      </c>
    </row>
    <row r="189" spans="52:53" ht="12.75">
      <c r="AZ189" s="143" t="s">
        <v>20</v>
      </c>
      <c r="BA189" s="141">
        <f>D27</f>
        <v>0</v>
      </c>
    </row>
    <row r="190" spans="52:53" ht="12.75">
      <c r="AZ190" s="143" t="s">
        <v>344</v>
      </c>
      <c r="BA190" s="141">
        <f>D28</f>
        <v>0</v>
      </c>
    </row>
    <row r="191" spans="52:53" ht="12.75">
      <c r="AZ191" s="143" t="s">
        <v>343</v>
      </c>
      <c r="BA191" s="141">
        <f>D29</f>
        <v>0</v>
      </c>
    </row>
    <row r="192" spans="52:53" ht="12.75">
      <c r="AZ192" s="282" t="s">
        <v>295</v>
      </c>
      <c r="BA192" s="141">
        <f>D31</f>
        <v>0</v>
      </c>
    </row>
    <row r="193" spans="52:53" ht="12.75">
      <c r="AZ193" s="143" t="s">
        <v>336</v>
      </c>
      <c r="BA193" s="141">
        <f aca="true" t="shared" si="0" ref="BA193:BA198">H23</f>
        <v>0</v>
      </c>
    </row>
    <row r="194" spans="52:53" ht="12.75">
      <c r="AZ194" s="143" t="s">
        <v>337</v>
      </c>
      <c r="BA194" s="141">
        <f t="shared" si="0"/>
        <v>0</v>
      </c>
    </row>
    <row r="195" spans="52:53" ht="12.75">
      <c r="AZ195" s="143" t="s">
        <v>293</v>
      </c>
      <c r="BA195" s="141">
        <f t="shared" si="0"/>
        <v>0</v>
      </c>
    </row>
    <row r="196" spans="52:53" ht="12.75">
      <c r="AZ196" s="143" t="s">
        <v>338</v>
      </c>
      <c r="BA196" s="141">
        <f t="shared" si="0"/>
        <v>0</v>
      </c>
    </row>
    <row r="197" spans="52:53" ht="12.75">
      <c r="AZ197" s="143" t="s">
        <v>339</v>
      </c>
      <c r="BA197" s="141">
        <f t="shared" si="0"/>
        <v>0</v>
      </c>
    </row>
    <row r="198" spans="52:53" ht="12.75">
      <c r="AZ198" s="143" t="s">
        <v>291</v>
      </c>
      <c r="BA198" s="141">
        <f t="shared" si="0"/>
        <v>0</v>
      </c>
    </row>
    <row r="199" spans="52:53" ht="12.75">
      <c r="AZ199" s="282" t="s">
        <v>333</v>
      </c>
      <c r="BA199" s="141">
        <f>H31</f>
        <v>0</v>
      </c>
    </row>
    <row r="200" ht="12.75">
      <c r="BA200" s="63"/>
    </row>
    <row r="201" ht="12.75">
      <c r="AZ201" s="143" t="s">
        <v>212</v>
      </c>
    </row>
    <row r="202" spans="52:53" ht="12.75">
      <c r="AZ202" s="143" t="s">
        <v>290</v>
      </c>
      <c r="BA202" s="144"/>
    </row>
    <row r="203" spans="52:53" ht="12.75">
      <c r="AZ203" s="143" t="s">
        <v>296</v>
      </c>
      <c r="BA203" s="144"/>
    </row>
    <row r="204" spans="52:54" ht="12.75">
      <c r="AZ204" s="143" t="s">
        <v>209</v>
      </c>
      <c r="BA204" s="144"/>
      <c r="BB204" s="142" t="s">
        <v>301</v>
      </c>
    </row>
    <row r="205" spans="52:53" ht="12.75">
      <c r="AZ205" s="143" t="s">
        <v>311</v>
      </c>
      <c r="BA205" s="144"/>
    </row>
    <row r="206" spans="52:53" ht="12.75">
      <c r="AZ206" s="143" t="s">
        <v>213</v>
      </c>
      <c r="BA206" s="144"/>
    </row>
    <row r="207" spans="52:54" ht="12.75">
      <c r="AZ207" s="143" t="s">
        <v>345</v>
      </c>
      <c r="BA207" s="144"/>
      <c r="BB207" s="142" t="s">
        <v>301</v>
      </c>
    </row>
    <row r="208" spans="52:54" ht="12.75">
      <c r="AZ208" s="143" t="s">
        <v>346</v>
      </c>
      <c r="BA208" s="144"/>
      <c r="BB208" s="142" t="s">
        <v>301</v>
      </c>
    </row>
    <row r="209" spans="53:54" ht="12.75">
      <c r="BA209" s="63"/>
      <c r="BB209" s="142" t="s">
        <v>301</v>
      </c>
    </row>
    <row r="210" spans="52:54" ht="12.75">
      <c r="AZ210" s="143" t="s">
        <v>100</v>
      </c>
      <c r="BB210" s="142" t="s">
        <v>301</v>
      </c>
    </row>
    <row r="211" spans="52:54" ht="12.75">
      <c r="AZ211" s="143" t="s">
        <v>297</v>
      </c>
      <c r="BA211" s="144"/>
      <c r="BB211" s="142" t="s">
        <v>301</v>
      </c>
    </row>
    <row r="212" ht="12.75">
      <c r="AZ212" s="143" t="s">
        <v>298</v>
      </c>
    </row>
    <row r="213" spans="52:53" ht="12.75">
      <c r="AZ213" s="143" t="s">
        <v>349</v>
      </c>
      <c r="BA213" s="144"/>
    </row>
    <row r="214" ht="12.75">
      <c r="AZ214" s="143" t="s">
        <v>244</v>
      </c>
    </row>
    <row r="215" ht="12.75">
      <c r="AZ215" s="143" t="s">
        <v>350</v>
      </c>
    </row>
    <row r="216" ht="12.75">
      <c r="AZ216" s="143" t="s">
        <v>312</v>
      </c>
    </row>
    <row r="217" ht="12.75">
      <c r="AZ217" s="143" t="s">
        <v>313</v>
      </c>
    </row>
    <row r="218" ht="12.75">
      <c r="AZ218" s="143"/>
    </row>
    <row r="219" ht="12.75">
      <c r="AZ219" s="143" t="s">
        <v>318</v>
      </c>
    </row>
    <row r="220" ht="12.75">
      <c r="AZ220" s="143" t="s">
        <v>320</v>
      </c>
    </row>
    <row r="221" ht="12.75">
      <c r="AZ221" s="143" t="s">
        <v>331</v>
      </c>
    </row>
    <row r="222" ht="12.75">
      <c r="AZ222" s="143" t="s">
        <v>332</v>
      </c>
    </row>
    <row r="223" ht="12.75">
      <c r="AZ223" s="143" t="s">
        <v>321</v>
      </c>
    </row>
    <row r="224" ht="12.75">
      <c r="AZ224" s="143" t="s">
        <v>241</v>
      </c>
    </row>
    <row r="225" ht="12.75">
      <c r="AZ225" s="143" t="s">
        <v>348</v>
      </c>
    </row>
    <row r="226" ht="12.75">
      <c r="AZ226" s="143" t="s">
        <v>322</v>
      </c>
    </row>
    <row r="227" ht="12.75">
      <c r="AZ227" s="143" t="s">
        <v>323</v>
      </c>
    </row>
    <row r="228" ht="12.75">
      <c r="AZ228" s="143"/>
    </row>
    <row r="229" ht="12.75">
      <c r="AZ229" s="143" t="s">
        <v>325</v>
      </c>
    </row>
    <row r="230" ht="12.75">
      <c r="AZ230" s="143" t="s">
        <v>326</v>
      </c>
    </row>
    <row r="231" ht="12.75">
      <c r="AZ231" s="143" t="s">
        <v>327</v>
      </c>
    </row>
    <row r="232" ht="12.75">
      <c r="AZ232" s="143" t="s">
        <v>328</v>
      </c>
    </row>
    <row r="233" ht="12.75">
      <c r="AZ233" s="143" t="s">
        <v>334</v>
      </c>
    </row>
    <row r="234" ht="12.75">
      <c r="AZ234" s="143" t="s">
        <v>242</v>
      </c>
    </row>
    <row r="235" ht="12.75">
      <c r="AZ235" s="143" t="s">
        <v>347</v>
      </c>
    </row>
    <row r="236" ht="12.75">
      <c r="AZ236" s="143" t="s">
        <v>329</v>
      </c>
    </row>
    <row r="237" ht="12.75">
      <c r="AZ237" s="143" t="s">
        <v>330</v>
      </c>
    </row>
    <row r="238" ht="12.75">
      <c r="AZ238" s="143"/>
    </row>
    <row r="239" ht="12.75">
      <c r="AZ239" s="143" t="s">
        <v>112</v>
      </c>
    </row>
    <row r="240" ht="12.75">
      <c r="AZ240" s="143" t="s">
        <v>7</v>
      </c>
    </row>
    <row r="241" ht="12.75">
      <c r="AZ241" s="143" t="s">
        <v>103</v>
      </c>
    </row>
    <row r="242" ht="12.75">
      <c r="AZ242" s="143" t="s">
        <v>36</v>
      </c>
    </row>
    <row r="243" ht="12.75">
      <c r="AZ243" s="143" t="s">
        <v>14</v>
      </c>
    </row>
    <row r="244" ht="12.75">
      <c r="AZ244" s="282" t="s">
        <v>102</v>
      </c>
    </row>
    <row r="245" ht="12.75">
      <c r="AZ245" s="282" t="s">
        <v>9</v>
      </c>
    </row>
    <row r="246" ht="12.75">
      <c r="AZ246" s="143" t="s">
        <v>316</v>
      </c>
    </row>
    <row r="247" ht="12.75">
      <c r="AZ247" s="143" t="s">
        <v>314</v>
      </c>
    </row>
    <row r="248" spans="52:53" ht="12.75">
      <c r="AZ248" s="145"/>
      <c r="BA248" s="142" t="s">
        <v>301</v>
      </c>
    </row>
    <row r="249" spans="52:53" ht="12.75">
      <c r="AZ249" s="145"/>
      <c r="BA249" s="142" t="s">
        <v>301</v>
      </c>
    </row>
    <row r="250" spans="52:53" ht="12.75">
      <c r="AZ250" s="145"/>
      <c r="BA250" s="142" t="s">
        <v>301</v>
      </c>
    </row>
    <row r="251" ht="12.75">
      <c r="AZ251" s="145"/>
    </row>
    <row r="252" ht="12.75">
      <c r="AZ252" s="145"/>
    </row>
    <row r="253" ht="12.75">
      <c r="AZ253" s="145"/>
    </row>
    <row r="254" ht="12.75">
      <c r="AZ254" s="145"/>
    </row>
    <row r="257" ht="12.75">
      <c r="BA257" s="142"/>
    </row>
    <row r="258" ht="12.75">
      <c r="BA258" s="142"/>
    </row>
    <row r="259" ht="12.75">
      <c r="BA259" s="142"/>
    </row>
    <row r="260" ht="12.75">
      <c r="BA260" s="142"/>
    </row>
    <row r="268" ht="12.75">
      <c r="BA268" s="142"/>
    </row>
    <row r="269" ht="12.75">
      <c r="BA269" s="142"/>
    </row>
    <row r="270" ht="12.75">
      <c r="BA270" s="142"/>
    </row>
  </sheetData>
  <sheetProtection password="D2C3" sheet="1" objects="1" scenarios="1" formatColumns="0" formatRows="0"/>
  <mergeCells count="3">
    <mergeCell ref="B4:I4"/>
    <mergeCell ref="B5:I5"/>
    <mergeCell ref="B2:I2"/>
  </mergeCells>
  <printOptions horizontalCentered="1"/>
  <pageMargins left="0.25" right="0.25" top="0.5" bottom="0.5" header="0.25" footer="0.25"/>
  <pageSetup fitToHeight="1" fitToWidth="1" horizontalDpi="300" verticalDpi="300" orientation="portrait" scale="68" r:id="rId3"/>
  <headerFooter alignWithMargins="0">
    <oddFooter>&amp;L&amp;F, &amp;A&amp;R&amp;D, &amp;T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7"/>
  <sheetViews>
    <sheetView showGridLines="0" zoomScale="75" zoomScaleNormal="75" workbookViewId="0" topLeftCell="A1">
      <selection activeCell="B2" sqref="B2:F2"/>
    </sheetView>
  </sheetViews>
  <sheetFormatPr defaultColWidth="9.140625" defaultRowHeight="12.75"/>
  <cols>
    <col min="1" max="1" width="13.7109375" style="63" customWidth="1"/>
    <col min="2" max="2" width="44.421875" style="311" customWidth="1"/>
    <col min="3" max="3" width="12.28125" style="63" customWidth="1"/>
    <col min="4" max="4" width="11.28125" style="63" bestFit="1" customWidth="1"/>
    <col min="5" max="6" width="9.140625" style="63" customWidth="1"/>
    <col min="7" max="8" width="13.7109375" style="63" customWidth="1"/>
    <col min="9" max="9" width="12.7109375" style="63" customWidth="1"/>
    <col min="10" max="16384" width="9.140625" style="63" customWidth="1"/>
  </cols>
  <sheetData>
    <row r="1" spans="1:6" ht="13.5" thickBot="1">
      <c r="A1" s="81"/>
      <c r="B1" s="148"/>
      <c r="C1" s="81"/>
      <c r="D1" s="81"/>
      <c r="E1" s="81"/>
      <c r="F1" s="81"/>
    </row>
    <row r="2" spans="1:8" ht="19.5" thickBot="1" thickTop="1">
      <c r="A2" s="81"/>
      <c r="B2" s="597" t="s">
        <v>411</v>
      </c>
      <c r="C2" s="598"/>
      <c r="D2" s="598"/>
      <c r="E2" s="598"/>
      <c r="F2" s="599"/>
      <c r="G2" s="312"/>
      <c r="H2" s="280"/>
    </row>
    <row r="3" spans="1:8" ht="15.75" thickTop="1">
      <c r="A3" s="81"/>
      <c r="B3" s="614" t="s">
        <v>364</v>
      </c>
      <c r="C3" s="614"/>
      <c r="D3" s="614"/>
      <c r="E3" s="614"/>
      <c r="F3" s="614"/>
      <c r="G3" s="313"/>
      <c r="H3" s="313"/>
    </row>
    <row r="4" spans="1:6" s="314" customFormat="1" ht="16.5" customHeight="1">
      <c r="A4" s="149" t="s">
        <v>375</v>
      </c>
      <c r="B4" s="603"/>
      <c r="C4" s="603"/>
      <c r="D4" s="603"/>
      <c r="E4" s="603"/>
      <c r="F4" s="603"/>
    </row>
    <row r="5" spans="1:6" s="314" customFormat="1" ht="16.5" customHeight="1">
      <c r="A5" s="149" t="s">
        <v>376</v>
      </c>
      <c r="B5" s="604"/>
      <c r="C5" s="604"/>
      <c r="D5" s="604"/>
      <c r="E5" s="604"/>
      <c r="F5" s="604"/>
    </row>
    <row r="6" spans="1:6" s="314" customFormat="1" ht="24.75" customHeight="1">
      <c r="A6" s="150"/>
      <c r="B6" s="151"/>
      <c r="C6" s="83"/>
      <c r="D6" s="152"/>
      <c r="E6" s="152"/>
      <c r="F6" s="152"/>
    </row>
    <row r="7" spans="1:6" s="314" customFormat="1" ht="24.75" customHeight="1">
      <c r="A7" s="150"/>
      <c r="B7" s="151"/>
      <c r="C7" s="83"/>
      <c r="D7" s="152"/>
      <c r="E7" s="152"/>
      <c r="F7" s="152"/>
    </row>
    <row r="8" spans="1:6" s="314" customFormat="1" ht="24.75" customHeight="1">
      <c r="A8" s="150"/>
      <c r="B8" s="151"/>
      <c r="C8" s="83"/>
      <c r="D8" s="152"/>
      <c r="E8" s="152"/>
      <c r="F8" s="152"/>
    </row>
    <row r="9" spans="1:7" ht="24.75" customHeight="1" thickBot="1">
      <c r="A9" s="97"/>
      <c r="B9" s="153"/>
      <c r="C9" s="154"/>
      <c r="D9" s="155"/>
      <c r="E9" s="155"/>
      <c r="F9" s="155"/>
      <c r="G9" s="56"/>
    </row>
    <row r="10" spans="1:7" ht="13.5" thickTop="1">
      <c r="A10" s="105"/>
      <c r="B10" s="156" t="s">
        <v>107</v>
      </c>
      <c r="C10" s="118"/>
      <c r="D10" s="102"/>
      <c r="E10" s="157"/>
      <c r="F10" s="158"/>
      <c r="G10" s="280"/>
    </row>
    <row r="11" spans="1:7" ht="12.75">
      <c r="A11" s="105"/>
      <c r="B11" s="159" t="s">
        <v>564</v>
      </c>
      <c r="C11" s="106" t="s">
        <v>102</v>
      </c>
      <c r="D11" s="491"/>
      <c r="E11" s="160" t="s">
        <v>4</v>
      </c>
      <c r="F11" s="161"/>
      <c r="G11" s="280"/>
    </row>
    <row r="12" spans="1:7" ht="12.75">
      <c r="A12" s="105"/>
      <c r="B12" s="159" t="s">
        <v>565</v>
      </c>
      <c r="C12" s="106" t="s">
        <v>15</v>
      </c>
      <c r="D12" s="24"/>
      <c r="E12" s="160" t="s">
        <v>2</v>
      </c>
      <c r="F12" s="161"/>
      <c r="G12" s="280"/>
    </row>
    <row r="13" spans="1:7" ht="12.75">
      <c r="A13" s="105"/>
      <c r="B13" s="159" t="s">
        <v>566</v>
      </c>
      <c r="C13" s="106" t="s">
        <v>592</v>
      </c>
      <c r="D13" s="24"/>
      <c r="E13" s="162" t="s">
        <v>1</v>
      </c>
      <c r="F13" s="161"/>
      <c r="G13" s="280"/>
    </row>
    <row r="14" spans="1:7" ht="12.75">
      <c r="A14" s="105"/>
      <c r="B14" s="159" t="s">
        <v>567</v>
      </c>
      <c r="C14" s="106" t="s">
        <v>11</v>
      </c>
      <c r="D14" s="25"/>
      <c r="E14" s="162" t="s">
        <v>1</v>
      </c>
      <c r="F14" s="161"/>
      <c r="G14" s="280"/>
    </row>
    <row r="15" spans="1:7" ht="12.75">
      <c r="A15" s="163"/>
      <c r="B15" s="159" t="s">
        <v>568</v>
      </c>
      <c r="C15" s="106" t="s">
        <v>424</v>
      </c>
      <c r="D15" s="25"/>
      <c r="E15" s="487"/>
      <c r="F15" s="161"/>
      <c r="G15" s="280"/>
    </row>
    <row r="16" spans="1:7" ht="12.75" customHeight="1" thickBot="1">
      <c r="A16" s="164"/>
      <c r="B16" s="488"/>
      <c r="C16" s="165"/>
      <c r="D16" s="317"/>
      <c r="E16" s="166"/>
      <c r="F16" s="167"/>
      <c r="G16" s="280"/>
    </row>
    <row r="17" spans="1:7" ht="13.5" thickTop="1">
      <c r="A17" s="105"/>
      <c r="B17" s="156" t="s">
        <v>393</v>
      </c>
      <c r="C17" s="168"/>
      <c r="D17" s="318"/>
      <c r="E17" s="169"/>
      <c r="F17" s="170"/>
      <c r="G17" s="280"/>
    </row>
    <row r="18" spans="1:7" ht="12.75">
      <c r="A18" s="105"/>
      <c r="B18" s="159" t="s">
        <v>569</v>
      </c>
      <c r="C18" s="106" t="s">
        <v>220</v>
      </c>
      <c r="D18" s="489"/>
      <c r="E18" s="171"/>
      <c r="F18" s="172"/>
      <c r="G18" s="280"/>
    </row>
    <row r="19" spans="1:7" ht="12.75">
      <c r="A19" s="105"/>
      <c r="B19" s="159" t="s">
        <v>570</v>
      </c>
      <c r="C19" s="106" t="s">
        <v>221</v>
      </c>
      <c r="D19" s="492"/>
      <c r="E19" s="173"/>
      <c r="F19" s="174"/>
      <c r="G19" s="280"/>
    </row>
    <row r="20" spans="1:7" ht="12.75">
      <c r="A20" s="105"/>
      <c r="B20" s="159" t="s">
        <v>571</v>
      </c>
      <c r="C20" s="106" t="s">
        <v>222</v>
      </c>
      <c r="D20" s="492"/>
      <c r="E20" s="173"/>
      <c r="F20" s="174"/>
      <c r="G20" s="280"/>
    </row>
    <row r="21" spans="1:7" ht="12.75">
      <c r="A21" s="105"/>
      <c r="B21" s="159" t="s">
        <v>572</v>
      </c>
      <c r="C21" s="106" t="s">
        <v>385</v>
      </c>
      <c r="D21" s="492"/>
      <c r="E21" s="173"/>
      <c r="F21" s="174"/>
      <c r="G21" s="280"/>
    </row>
    <row r="22" spans="1:7" ht="12.75">
      <c r="A22" s="105"/>
      <c r="B22" s="159" t="s">
        <v>573</v>
      </c>
      <c r="C22" s="106" t="s">
        <v>223</v>
      </c>
      <c r="D22" s="492"/>
      <c r="E22" s="173"/>
      <c r="F22" s="174"/>
      <c r="G22" s="280"/>
    </row>
    <row r="23" spans="1:7" ht="12.75">
      <c r="A23" s="105"/>
      <c r="B23" s="159" t="s">
        <v>574</v>
      </c>
      <c r="C23" s="106" t="s">
        <v>224</v>
      </c>
      <c r="D23" s="493"/>
      <c r="E23" s="175"/>
      <c r="F23" s="176"/>
      <c r="G23" s="51"/>
    </row>
    <row r="24" spans="1:7" ht="12.75">
      <c r="A24" s="105"/>
      <c r="B24" s="159" t="s">
        <v>575</v>
      </c>
      <c r="C24" s="106" t="s">
        <v>225</v>
      </c>
      <c r="D24" s="492"/>
      <c r="E24" s="175"/>
      <c r="F24" s="174"/>
      <c r="G24" s="51"/>
    </row>
    <row r="25" spans="1:7" ht="12.75">
      <c r="A25" s="105"/>
      <c r="B25" s="159" t="s">
        <v>576</v>
      </c>
      <c r="C25" s="106" t="s">
        <v>383</v>
      </c>
      <c r="D25" s="492"/>
      <c r="E25" s="177" t="s">
        <v>4</v>
      </c>
      <c r="F25" s="178"/>
      <c r="G25" s="51"/>
    </row>
    <row r="26" spans="1:7" ht="13.5" customHeight="1">
      <c r="A26" s="105"/>
      <c r="B26" s="179" t="s">
        <v>395</v>
      </c>
      <c r="C26" s="121" t="s">
        <v>384</v>
      </c>
      <c r="D26" s="494"/>
      <c r="E26" s="173" t="s">
        <v>4</v>
      </c>
      <c r="F26" s="180"/>
      <c r="G26" s="280"/>
    </row>
    <row r="27" spans="1:7" ht="12.75">
      <c r="A27" s="181"/>
      <c r="B27" s="490"/>
      <c r="C27" s="182"/>
      <c r="D27" s="497"/>
      <c r="E27" s="183"/>
      <c r="F27" s="184"/>
      <c r="G27" s="315"/>
    </row>
    <row r="28" spans="1:6" s="314" customFormat="1" ht="12.75">
      <c r="A28" s="163"/>
      <c r="B28" s="185" t="s">
        <v>392</v>
      </c>
      <c r="C28" s="186"/>
      <c r="D28" s="498"/>
      <c r="E28" s="187"/>
      <c r="F28" s="188"/>
    </row>
    <row r="29" spans="1:8" ht="12.75">
      <c r="A29" s="189"/>
      <c r="B29" s="190" t="s">
        <v>387</v>
      </c>
      <c r="C29" s="191"/>
      <c r="D29" s="499"/>
      <c r="E29" s="192"/>
      <c r="F29" s="193"/>
      <c r="G29" s="56"/>
      <c r="H29" s="56"/>
    </row>
    <row r="30" spans="1:9" ht="12.75">
      <c r="A30" s="99"/>
      <c r="B30" s="194" t="s">
        <v>577</v>
      </c>
      <c r="C30" s="106" t="s">
        <v>226</v>
      </c>
      <c r="D30" s="495"/>
      <c r="E30" s="192"/>
      <c r="F30" s="193"/>
      <c r="G30" s="56"/>
      <c r="H30" s="56"/>
      <c r="I30" s="316"/>
    </row>
    <row r="31" spans="1:9" ht="12.75">
      <c r="A31" s="99"/>
      <c r="B31" s="194" t="s">
        <v>578</v>
      </c>
      <c r="C31" s="106" t="s">
        <v>227</v>
      </c>
      <c r="D31" s="492"/>
      <c r="E31" s="183" t="s">
        <v>2</v>
      </c>
      <c r="F31" s="193"/>
      <c r="G31" s="56"/>
      <c r="H31" s="56"/>
      <c r="I31" s="316"/>
    </row>
    <row r="32" spans="1:9" ht="12.75">
      <c r="A32" s="99"/>
      <c r="B32" s="194" t="s">
        <v>579</v>
      </c>
      <c r="C32" s="106" t="s">
        <v>228</v>
      </c>
      <c r="D32" s="492"/>
      <c r="E32" s="183" t="s">
        <v>2</v>
      </c>
      <c r="F32" s="193"/>
      <c r="G32" s="56"/>
      <c r="H32" s="56"/>
      <c r="I32" s="316"/>
    </row>
    <row r="33" spans="1:9" ht="12.75">
      <c r="A33" s="99"/>
      <c r="B33" s="194" t="s">
        <v>580</v>
      </c>
      <c r="C33" s="106" t="s">
        <v>229</v>
      </c>
      <c r="D33" s="492"/>
      <c r="E33" s="183" t="s">
        <v>28</v>
      </c>
      <c r="F33" s="193"/>
      <c r="G33" s="56"/>
      <c r="H33" s="56"/>
      <c r="I33" s="316"/>
    </row>
    <row r="34" spans="1:9" ht="12.75">
      <c r="A34" s="99"/>
      <c r="B34" s="194" t="s">
        <v>581</v>
      </c>
      <c r="C34" s="106" t="s">
        <v>230</v>
      </c>
      <c r="D34" s="492"/>
      <c r="E34" s="183" t="s">
        <v>3</v>
      </c>
      <c r="F34" s="193"/>
      <c r="G34" s="56"/>
      <c r="H34" s="56"/>
      <c r="I34" s="316"/>
    </row>
    <row r="35" spans="1:9" ht="12.75">
      <c r="A35" s="195"/>
      <c r="B35" s="194" t="s">
        <v>582</v>
      </c>
      <c r="C35" s="106" t="s">
        <v>240</v>
      </c>
      <c r="D35" s="492"/>
      <c r="E35" s="183" t="s">
        <v>2</v>
      </c>
      <c r="F35" s="193"/>
      <c r="G35" s="56"/>
      <c r="H35" s="56"/>
      <c r="I35" s="316"/>
    </row>
    <row r="36" spans="1:9" ht="12.75">
      <c r="A36" s="99"/>
      <c r="B36" s="190" t="s">
        <v>386</v>
      </c>
      <c r="C36" s="191"/>
      <c r="D36" s="500"/>
      <c r="E36" s="183"/>
      <c r="F36" s="193"/>
      <c r="G36" s="56"/>
      <c r="H36" s="56"/>
      <c r="I36" s="316"/>
    </row>
    <row r="37" spans="1:9" ht="12.75">
      <c r="A37" s="196"/>
      <c r="B37" s="194" t="s">
        <v>232</v>
      </c>
      <c r="C37" s="106" t="s">
        <v>233</v>
      </c>
      <c r="D37" s="495"/>
      <c r="E37" s="183"/>
      <c r="F37" s="193"/>
      <c r="G37" s="56"/>
      <c r="H37" s="56"/>
      <c r="I37" s="316"/>
    </row>
    <row r="38" spans="1:9" ht="12.75">
      <c r="A38" s="99"/>
      <c r="B38" s="194" t="s">
        <v>583</v>
      </c>
      <c r="C38" s="106" t="s">
        <v>234</v>
      </c>
      <c r="D38" s="492"/>
      <c r="E38" s="183" t="s">
        <v>2</v>
      </c>
      <c r="F38" s="193"/>
      <c r="G38" s="56"/>
      <c r="H38" s="56"/>
      <c r="I38" s="316"/>
    </row>
    <row r="39" spans="1:9" ht="12.75">
      <c r="A39" s="99"/>
      <c r="B39" s="194" t="s">
        <v>584</v>
      </c>
      <c r="C39" s="106" t="s">
        <v>235</v>
      </c>
      <c r="D39" s="492"/>
      <c r="E39" s="183" t="s">
        <v>2</v>
      </c>
      <c r="F39" s="193"/>
      <c r="G39" s="56"/>
      <c r="H39" s="56"/>
      <c r="I39" s="316"/>
    </row>
    <row r="40" spans="1:9" ht="12.75">
      <c r="A40" s="99"/>
      <c r="B40" s="194" t="s">
        <v>585</v>
      </c>
      <c r="C40" s="106" t="s">
        <v>236</v>
      </c>
      <c r="D40" s="492"/>
      <c r="E40" s="183" t="s">
        <v>28</v>
      </c>
      <c r="F40" s="193"/>
      <c r="G40" s="56"/>
      <c r="H40" s="56"/>
      <c r="I40" s="316"/>
    </row>
    <row r="41" spans="1:9" ht="12.75">
      <c r="A41" s="99"/>
      <c r="B41" s="190" t="s">
        <v>391</v>
      </c>
      <c r="C41" s="106"/>
      <c r="D41" s="500"/>
      <c r="E41" s="183"/>
      <c r="F41" s="193"/>
      <c r="G41" s="56"/>
      <c r="H41" s="56"/>
      <c r="I41" s="316"/>
    </row>
    <row r="42" spans="1:9" ht="12.75">
      <c r="A42" s="99"/>
      <c r="B42" s="194" t="s">
        <v>586</v>
      </c>
      <c r="C42" s="106" t="s">
        <v>237</v>
      </c>
      <c r="D42" s="495"/>
      <c r="E42" s="183" t="s">
        <v>3</v>
      </c>
      <c r="F42" s="193"/>
      <c r="G42" s="56"/>
      <c r="H42" s="56"/>
      <c r="I42" s="316"/>
    </row>
    <row r="43" spans="1:9" ht="12.75">
      <c r="A43" s="99"/>
      <c r="B43" s="194" t="s">
        <v>587</v>
      </c>
      <c r="C43" s="106" t="s">
        <v>238</v>
      </c>
      <c r="D43" s="492"/>
      <c r="E43" s="183" t="s">
        <v>3</v>
      </c>
      <c r="F43" s="193"/>
      <c r="G43" s="56"/>
      <c r="H43" s="56"/>
      <c r="I43" s="316"/>
    </row>
    <row r="44" spans="1:9" ht="12.75">
      <c r="A44" s="99"/>
      <c r="B44" s="194" t="s">
        <v>588</v>
      </c>
      <c r="C44" s="106" t="s">
        <v>8</v>
      </c>
      <c r="D44" s="492"/>
      <c r="E44" s="183" t="s">
        <v>3</v>
      </c>
      <c r="F44" s="193"/>
      <c r="G44" s="56"/>
      <c r="H44" s="56"/>
      <c r="I44" s="316"/>
    </row>
    <row r="45" spans="1:9" ht="12.75">
      <c r="A45" s="99"/>
      <c r="B45" s="194" t="s">
        <v>589</v>
      </c>
      <c r="C45" s="106" t="s">
        <v>231</v>
      </c>
      <c r="D45" s="492"/>
      <c r="E45" s="183" t="s">
        <v>2</v>
      </c>
      <c r="F45" s="193"/>
      <c r="G45" s="56"/>
      <c r="H45" s="56"/>
      <c r="I45" s="316"/>
    </row>
    <row r="46" spans="1:9" ht="12.75">
      <c r="A46" s="197"/>
      <c r="B46" s="190" t="s">
        <v>239</v>
      </c>
      <c r="C46" s="106"/>
      <c r="D46" s="501"/>
      <c r="E46" s="97"/>
      <c r="F46" s="108"/>
      <c r="G46" s="56"/>
      <c r="H46" s="56"/>
      <c r="I46" s="316"/>
    </row>
    <row r="47" spans="1:9" ht="12.75">
      <c r="A47" s="195"/>
      <c r="B47" s="194" t="s">
        <v>590</v>
      </c>
      <c r="C47" s="106" t="s">
        <v>388</v>
      </c>
      <c r="D47" s="495"/>
      <c r="E47" s="183" t="s">
        <v>219</v>
      </c>
      <c r="F47" s="193"/>
      <c r="G47" s="56"/>
      <c r="H47" s="56"/>
      <c r="I47" s="316"/>
    </row>
    <row r="48" spans="1:9" ht="12.75">
      <c r="A48" s="99"/>
      <c r="B48" s="194" t="s">
        <v>591</v>
      </c>
      <c r="C48" s="106" t="s">
        <v>389</v>
      </c>
      <c r="D48" s="492"/>
      <c r="E48" s="183" t="s">
        <v>219</v>
      </c>
      <c r="F48" s="193"/>
      <c r="G48" s="56"/>
      <c r="H48" s="56"/>
      <c r="I48" s="316"/>
    </row>
    <row r="49" spans="1:9" ht="12.75">
      <c r="A49" s="99"/>
      <c r="B49" s="190"/>
      <c r="C49" s="106"/>
      <c r="D49" s="502"/>
      <c r="E49" s="183"/>
      <c r="F49" s="193"/>
      <c r="G49" s="56"/>
      <c r="H49" s="56"/>
      <c r="I49" s="316"/>
    </row>
    <row r="50" spans="1:9" ht="12.75">
      <c r="A50" s="99"/>
      <c r="B50" s="190" t="s">
        <v>394</v>
      </c>
      <c r="C50" s="105" t="s">
        <v>390</v>
      </c>
      <c r="D50" s="496"/>
      <c r="E50" s="192" t="s">
        <v>2</v>
      </c>
      <c r="F50" s="193"/>
      <c r="G50" s="56"/>
      <c r="H50" s="56"/>
      <c r="I50" s="316"/>
    </row>
    <row r="51" spans="1:8" ht="13.5" thickBot="1">
      <c r="A51" s="99"/>
      <c r="B51" s="198"/>
      <c r="C51" s="199"/>
      <c r="D51" s="200"/>
      <c r="E51" s="201"/>
      <c r="F51" s="202"/>
      <c r="G51" s="56"/>
      <c r="H51" s="56"/>
    </row>
    <row r="52" spans="1:8" ht="6.75" customHeight="1" thickTop="1">
      <c r="A52" s="203"/>
      <c r="B52" s="204"/>
      <c r="C52" s="81"/>
      <c r="D52" s="81"/>
      <c r="E52" s="81"/>
      <c r="F52" s="81"/>
      <c r="G52" s="56"/>
      <c r="H52" s="56"/>
    </row>
    <row r="53" spans="1:6" ht="12.75">
      <c r="A53" s="205"/>
      <c r="B53" s="148"/>
      <c r="C53" s="81"/>
      <c r="D53" s="81"/>
      <c r="E53" s="81"/>
      <c r="F53" s="81"/>
    </row>
    <row r="54" spans="1:6" ht="12.75">
      <c r="A54" s="81"/>
      <c r="B54" s="148"/>
      <c r="C54" s="81"/>
      <c r="D54" s="81"/>
      <c r="E54" s="81"/>
      <c r="F54" s="81"/>
    </row>
    <row r="55" spans="1:6" ht="12.75">
      <c r="A55" s="81"/>
      <c r="B55" s="148"/>
      <c r="C55" s="81"/>
      <c r="D55" s="81"/>
      <c r="E55" s="81"/>
      <c r="F55" s="81"/>
    </row>
    <row r="56" spans="1:6" ht="12.75">
      <c r="A56" s="81"/>
      <c r="B56" s="148"/>
      <c r="C56" s="81"/>
      <c r="D56" s="81"/>
      <c r="E56" s="81"/>
      <c r="F56" s="81"/>
    </row>
    <row r="57" spans="1:6" ht="12.75">
      <c r="A57" s="81"/>
      <c r="B57" s="148"/>
      <c r="C57" s="81"/>
      <c r="D57" s="81"/>
      <c r="E57" s="81"/>
      <c r="F57" s="81"/>
    </row>
  </sheetData>
  <sheetProtection password="D2C3" sheet="1" objects="1" scenarios="1" formatCells="0" formatColumns="0" formatRows="0"/>
  <mergeCells count="4">
    <mergeCell ref="B4:F4"/>
    <mergeCell ref="B5:F5"/>
    <mergeCell ref="B2:F2"/>
    <mergeCell ref="B3:F3"/>
  </mergeCells>
  <printOptions horizontalCentered="1"/>
  <pageMargins left="0.5" right="0.5" top="0.5" bottom="0.5" header="0.25" footer="0.25"/>
  <pageSetup fitToHeight="1" fitToWidth="1" horizontalDpi="300" verticalDpi="300" orientation="portrait" scale="85" r:id="rId3"/>
  <headerFooter alignWithMargins="0">
    <oddFooter>&amp;L&amp;F, &amp;A&amp;R&amp;D, &amp;T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30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10.7109375" style="75" customWidth="1"/>
    <col min="2" max="2" width="20.421875" style="75" customWidth="1"/>
    <col min="3" max="3" width="18.140625" style="75" customWidth="1"/>
    <col min="4" max="4" width="19.421875" style="75" customWidth="1"/>
    <col min="5" max="5" width="21.140625" style="75" customWidth="1"/>
    <col min="6" max="25" width="10.7109375" style="75" customWidth="1"/>
    <col min="26" max="16384" width="9.140625" style="75" customWidth="1"/>
  </cols>
  <sheetData>
    <row r="2" spans="1:6" ht="12.75">
      <c r="A2" s="615" t="s">
        <v>396</v>
      </c>
      <c r="B2" s="615"/>
      <c r="C2" s="615"/>
      <c r="D2" s="615"/>
      <c r="E2" s="615"/>
      <c r="F2" s="615"/>
    </row>
    <row r="3" ht="13.5" thickBot="1"/>
    <row r="4" spans="2:5" ht="13.5" thickTop="1">
      <c r="B4" s="206" t="s">
        <v>62</v>
      </c>
      <c r="C4" s="207" t="s">
        <v>77</v>
      </c>
      <c r="D4" s="207" t="s">
        <v>78</v>
      </c>
      <c r="E4" s="208" t="s">
        <v>80</v>
      </c>
    </row>
    <row r="5" spans="2:5" ht="12.75">
      <c r="B5" s="209"/>
      <c r="C5" s="210"/>
      <c r="D5" s="210" t="s">
        <v>79</v>
      </c>
      <c r="E5" s="211" t="s">
        <v>81</v>
      </c>
    </row>
    <row r="6" spans="2:5" ht="12.75">
      <c r="B6" s="212" t="s">
        <v>381</v>
      </c>
      <c r="C6" s="213" t="s">
        <v>82</v>
      </c>
      <c r="D6" s="214">
        <v>0.035</v>
      </c>
      <c r="E6" s="215">
        <v>0.03</v>
      </c>
    </row>
    <row r="7" spans="2:5" ht="12.75">
      <c r="B7" s="212" t="s">
        <v>381</v>
      </c>
      <c r="C7" s="213" t="s">
        <v>83</v>
      </c>
      <c r="D7" s="214">
        <v>0.04</v>
      </c>
      <c r="E7" s="215">
        <v>0.03</v>
      </c>
    </row>
    <row r="8" spans="2:5" ht="12.75">
      <c r="B8" s="212" t="s">
        <v>84</v>
      </c>
      <c r="C8" s="213" t="s">
        <v>82</v>
      </c>
      <c r="D8" s="214">
        <v>0.035</v>
      </c>
      <c r="E8" s="215">
        <v>0.03</v>
      </c>
    </row>
    <row r="9" spans="2:5" ht="12.75">
      <c r="B9" s="212" t="s">
        <v>84</v>
      </c>
      <c r="C9" s="213" t="s">
        <v>83</v>
      </c>
      <c r="D9" s="214">
        <v>0.04</v>
      </c>
      <c r="E9" s="215">
        <v>0.03</v>
      </c>
    </row>
    <row r="10" spans="2:5" ht="12.75">
      <c r="B10" s="216" t="s">
        <v>85</v>
      </c>
      <c r="C10" s="213"/>
      <c r="D10" s="214"/>
      <c r="E10" s="215"/>
    </row>
    <row r="11" spans="2:5" ht="12.75">
      <c r="B11" s="212" t="s">
        <v>86</v>
      </c>
      <c r="C11" s="213" t="s">
        <v>87</v>
      </c>
      <c r="D11" s="214">
        <v>0.07</v>
      </c>
      <c r="E11" s="215">
        <v>0.035</v>
      </c>
    </row>
    <row r="12" spans="2:5" ht="12.75">
      <c r="B12" s="212" t="s">
        <v>86</v>
      </c>
      <c r="C12" s="213" t="s">
        <v>88</v>
      </c>
      <c r="D12" s="214">
        <v>0.1</v>
      </c>
      <c r="E12" s="215">
        <v>0.035</v>
      </c>
    </row>
    <row r="13" spans="2:5" ht="12.75">
      <c r="B13" s="212" t="s">
        <v>89</v>
      </c>
      <c r="C13" s="213" t="s">
        <v>87</v>
      </c>
      <c r="D13" s="214">
        <v>0.06</v>
      </c>
      <c r="E13" s="215">
        <v>0.035</v>
      </c>
    </row>
    <row r="14" spans="2:5" ht="13.5" thickBot="1">
      <c r="B14" s="217" t="s">
        <v>89</v>
      </c>
      <c r="C14" s="218" t="s">
        <v>88</v>
      </c>
      <c r="D14" s="219">
        <v>0.07</v>
      </c>
      <c r="E14" s="220">
        <v>0.035</v>
      </c>
    </row>
    <row r="15" ht="13.5" thickTop="1"/>
    <row r="16" ht="12.75"/>
    <row r="17" ht="12.75"/>
    <row r="18" ht="12.75"/>
    <row r="19" spans="2:5" ht="12.75">
      <c r="B19" s="221"/>
      <c r="C19" s="221"/>
      <c r="D19" s="221"/>
      <c r="E19" s="221"/>
    </row>
    <row r="20" spans="2:5" ht="12.75">
      <c r="B20" s="221"/>
      <c r="C20" s="221"/>
      <c r="D20" s="221"/>
      <c r="E20" s="221"/>
    </row>
    <row r="21" spans="2:5" ht="12.75">
      <c r="B21" s="221"/>
      <c r="C21" s="221"/>
      <c r="D21" s="221"/>
      <c r="E21" s="221"/>
    </row>
    <row r="22" spans="2:5" ht="12.75">
      <c r="B22" s="221"/>
      <c r="C22" s="221"/>
      <c r="D22" s="221"/>
      <c r="E22" s="221"/>
    </row>
    <row r="23" spans="2:5" ht="12.75">
      <c r="B23" s="221"/>
      <c r="C23" s="221"/>
      <c r="D23" s="221"/>
      <c r="E23" s="221"/>
    </row>
    <row r="24" spans="2:5" ht="12.75">
      <c r="B24" s="221"/>
      <c r="C24" s="221"/>
      <c r="D24" s="221"/>
      <c r="E24" s="221"/>
    </row>
    <row r="25" spans="2:5" ht="12.75">
      <c r="B25" s="221"/>
      <c r="C25" s="221"/>
      <c r="D25" s="221"/>
      <c r="E25" s="221"/>
    </row>
    <row r="26" spans="2:5" ht="12.75">
      <c r="B26" s="221"/>
      <c r="C26" s="221"/>
      <c r="D26" s="221"/>
      <c r="E26" s="221"/>
    </row>
    <row r="27" spans="2:5" ht="12.75">
      <c r="B27" s="221"/>
      <c r="C27" s="221"/>
      <c r="D27" s="221"/>
      <c r="E27" s="221"/>
    </row>
    <row r="28" spans="2:5" ht="12.75">
      <c r="B28" s="221"/>
      <c r="C28" s="221"/>
      <c r="D28" s="221"/>
      <c r="E28" s="221"/>
    </row>
    <row r="29" spans="2:5" ht="12.75">
      <c r="B29" s="221"/>
      <c r="C29" s="221"/>
      <c r="D29" s="221"/>
      <c r="E29" s="221"/>
    </row>
    <row r="30" spans="2:5" ht="12.75">
      <c r="B30" s="221"/>
      <c r="C30" s="221"/>
      <c r="D30" s="221"/>
      <c r="E30" s="221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formatCells="0" formatColumns="0" formatRows="0"/>
  <mergeCells count="1">
    <mergeCell ref="A2:F2"/>
  </mergeCells>
  <printOptions horizontalCentered="1"/>
  <pageMargins left="0.5" right="0.5" top="1" bottom="1" header="0.5" footer="0.5"/>
  <pageSetup fitToHeight="1" fitToWidth="1" horizontalDpi="300" verticalDpi="300" orientation="portrait" r:id="rId2"/>
  <headerFooter alignWithMargins="0">
    <oddFooter>&amp;L&amp;F, &amp;A&amp;R&amp;D,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 objects="1" scenarios="1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L135"/>
  <sheetViews>
    <sheetView zoomScale="85" zoomScaleNormal="85" zoomScaleSheetLayoutView="100" workbookViewId="0" topLeftCell="A1">
      <selection activeCell="A2" sqref="A2:F2"/>
    </sheetView>
  </sheetViews>
  <sheetFormatPr defaultColWidth="9.140625" defaultRowHeight="12.75"/>
  <cols>
    <col min="1" max="1" width="10.00390625" style="42" customWidth="1"/>
    <col min="2" max="2" width="30.7109375" style="42" customWidth="1"/>
    <col min="3" max="5" width="8.7109375" style="42" customWidth="1"/>
    <col min="6" max="7" width="10.00390625" style="42" customWidth="1"/>
    <col min="8" max="8" width="30.7109375" style="42" customWidth="1"/>
    <col min="9" max="10" width="9.140625" style="42" customWidth="1"/>
    <col min="11" max="11" width="8.57421875" style="42" customWidth="1"/>
    <col min="12" max="12" width="10.00390625" style="42" customWidth="1"/>
    <col min="13" max="16384" width="9.140625" style="42" customWidth="1"/>
  </cols>
  <sheetData>
    <row r="1" ht="13.5" customHeight="1" thickBot="1"/>
    <row r="2" spans="1:12" ht="19.5" customHeight="1" thickBot="1" thickTop="1">
      <c r="A2" s="552" t="s">
        <v>180</v>
      </c>
      <c r="B2" s="553"/>
      <c r="C2" s="553"/>
      <c r="D2" s="553"/>
      <c r="E2" s="553"/>
      <c r="F2" s="554"/>
      <c r="G2" s="552" t="s">
        <v>403</v>
      </c>
      <c r="H2" s="553"/>
      <c r="I2" s="553"/>
      <c r="J2" s="553"/>
      <c r="K2" s="553"/>
      <c r="L2" s="554"/>
    </row>
    <row r="3" ht="13.5" customHeight="1" thickTop="1"/>
    <row r="4" spans="1:12" ht="13.5" customHeight="1">
      <c r="A4" s="43" t="s">
        <v>375</v>
      </c>
      <c r="B4" s="555"/>
      <c r="C4" s="555"/>
      <c r="D4" s="555"/>
      <c r="E4" s="555"/>
      <c r="F4" s="555"/>
      <c r="G4" s="43" t="s">
        <v>375</v>
      </c>
      <c r="H4" s="555"/>
      <c r="I4" s="555"/>
      <c r="J4" s="555"/>
      <c r="K4" s="555"/>
      <c r="L4" s="555"/>
    </row>
    <row r="5" spans="1:12" ht="13.5" customHeight="1">
      <c r="A5" s="43" t="s">
        <v>376</v>
      </c>
      <c r="B5" s="556"/>
      <c r="C5" s="556"/>
      <c r="D5" s="556"/>
      <c r="E5" s="556"/>
      <c r="F5" s="556"/>
      <c r="G5" s="43" t="s">
        <v>376</v>
      </c>
      <c r="H5" s="556"/>
      <c r="I5" s="556"/>
      <c r="J5" s="556"/>
      <c r="K5" s="556"/>
      <c r="L5" s="556"/>
    </row>
    <row r="6" spans="1:12" ht="13.5" customHeight="1">
      <c r="A6" s="1"/>
      <c r="B6" s="41"/>
      <c r="C6" s="1"/>
      <c r="D6" s="1"/>
      <c r="E6" s="1"/>
      <c r="F6" s="1"/>
      <c r="G6" s="1"/>
      <c r="H6" s="41"/>
      <c r="I6" s="1"/>
      <c r="J6" s="1"/>
      <c r="K6" s="1"/>
      <c r="L6" s="1"/>
    </row>
    <row r="7" spans="1:12" ht="13.5" customHeight="1">
      <c r="A7" s="1"/>
      <c r="B7" s="41"/>
      <c r="C7" s="1"/>
      <c r="D7" s="1"/>
      <c r="E7" s="1"/>
      <c r="F7" s="1"/>
      <c r="G7" s="1"/>
      <c r="H7" s="41"/>
      <c r="I7" s="1"/>
      <c r="J7" s="1"/>
      <c r="K7" s="1"/>
      <c r="L7" s="1"/>
    </row>
    <row r="8" spans="1:12" ht="13.5" customHeight="1">
      <c r="A8" s="1"/>
      <c r="B8" s="41"/>
      <c r="C8" s="1"/>
      <c r="D8" s="1"/>
      <c r="E8" s="1"/>
      <c r="F8" s="1"/>
      <c r="G8" s="1"/>
      <c r="H8" s="41"/>
      <c r="I8" s="1"/>
      <c r="J8" s="1"/>
      <c r="K8" s="1"/>
      <c r="L8" s="1"/>
    </row>
    <row r="9" spans="1:12" ht="13.5" customHeight="1">
      <c r="A9" s="1"/>
      <c r="B9" s="41"/>
      <c r="C9" s="1"/>
      <c r="D9" s="1"/>
      <c r="E9" s="1"/>
      <c r="F9" s="1"/>
      <c r="G9" s="1"/>
      <c r="H9" s="41"/>
      <c r="I9" s="1"/>
      <c r="J9" s="1"/>
      <c r="K9" s="1"/>
      <c r="L9" s="1"/>
    </row>
    <row r="10" spans="1:12" ht="13.5" customHeight="1">
      <c r="A10" s="1"/>
      <c r="B10" s="41"/>
      <c r="C10" s="1"/>
      <c r="D10" s="1"/>
      <c r="E10" s="1"/>
      <c r="F10" s="1"/>
      <c r="G10" s="1"/>
      <c r="H10" s="41"/>
      <c r="I10" s="1"/>
      <c r="J10" s="1"/>
      <c r="K10" s="1"/>
      <c r="L10" s="1"/>
    </row>
    <row r="11" spans="1:12" ht="13.5" customHeight="1">
      <c r="A11" s="1"/>
      <c r="B11" s="41"/>
      <c r="C11" s="1"/>
      <c r="D11" s="1"/>
      <c r="E11" s="1"/>
      <c r="F11" s="1"/>
      <c r="G11" s="1"/>
      <c r="H11" s="41"/>
      <c r="I11" s="1"/>
      <c r="J11" s="1"/>
      <c r="K11" s="1"/>
      <c r="L11" s="1"/>
    </row>
    <row r="12" spans="1:12" ht="13.5" customHeight="1" thickBot="1">
      <c r="A12" s="1"/>
      <c r="B12" s="41"/>
      <c r="C12" s="1"/>
      <c r="D12" s="1"/>
      <c r="E12" s="1"/>
      <c r="F12" s="1"/>
      <c r="G12" s="1"/>
      <c r="H12" s="41"/>
      <c r="I12" s="1"/>
      <c r="J12" s="1"/>
      <c r="K12" s="1"/>
      <c r="L12" s="1"/>
    </row>
    <row r="13" spans="1:12" ht="14.25" customHeight="1" thickBot="1" thickTop="1">
      <c r="A13" s="43"/>
      <c r="B13" s="44" t="s">
        <v>111</v>
      </c>
      <c r="C13" s="45"/>
      <c r="D13" s="45"/>
      <c r="E13" s="46"/>
      <c r="F13" s="1"/>
      <c r="G13" s="1"/>
      <c r="H13" s="41"/>
      <c r="I13" s="1"/>
      <c r="J13" s="1"/>
      <c r="K13" s="1"/>
      <c r="L13" s="1"/>
    </row>
    <row r="14" spans="1:12" ht="14.25" customHeight="1" thickTop="1">
      <c r="A14" s="1"/>
      <c r="B14" s="48" t="s">
        <v>12</v>
      </c>
      <c r="C14" s="354" t="s">
        <v>11</v>
      </c>
      <c r="D14" s="26"/>
      <c r="E14" s="49" t="s">
        <v>1</v>
      </c>
      <c r="F14" s="1"/>
      <c r="G14" s="43"/>
      <c r="H14" s="44" t="s">
        <v>107</v>
      </c>
      <c r="I14" s="45"/>
      <c r="J14" s="45"/>
      <c r="K14" s="46"/>
      <c r="L14" s="1"/>
    </row>
    <row r="15" spans="1:12" ht="14.25" customHeight="1">
      <c r="A15" s="1"/>
      <c r="B15" s="48" t="s">
        <v>442</v>
      </c>
      <c r="C15" s="354" t="s">
        <v>424</v>
      </c>
      <c r="D15" s="27"/>
      <c r="E15" s="49" t="s">
        <v>0</v>
      </c>
      <c r="F15" s="1"/>
      <c r="G15" s="1"/>
      <c r="H15" s="48" t="s">
        <v>13</v>
      </c>
      <c r="I15" s="354" t="s">
        <v>15</v>
      </c>
      <c r="J15" s="430"/>
      <c r="K15" s="49" t="s">
        <v>16</v>
      </c>
      <c r="L15" s="1"/>
    </row>
    <row r="16" spans="1:12" ht="14.25" customHeight="1">
      <c r="A16" s="1"/>
      <c r="B16" s="48" t="s">
        <v>13</v>
      </c>
      <c r="C16" s="354" t="s">
        <v>15</v>
      </c>
      <c r="D16" s="431"/>
      <c r="E16" s="49" t="s">
        <v>16</v>
      </c>
      <c r="F16" s="1"/>
      <c r="G16" s="1"/>
      <c r="H16" s="48" t="s">
        <v>17</v>
      </c>
      <c r="I16" s="354" t="s">
        <v>18</v>
      </c>
      <c r="J16" s="431"/>
      <c r="K16" s="49" t="s">
        <v>1</v>
      </c>
      <c r="L16" s="1"/>
    </row>
    <row r="17" spans="1:12" ht="14.25" customHeight="1">
      <c r="A17" s="1"/>
      <c r="B17" s="48" t="s">
        <v>17</v>
      </c>
      <c r="C17" s="354" t="s">
        <v>18</v>
      </c>
      <c r="D17" s="431"/>
      <c r="E17" s="49" t="s">
        <v>1</v>
      </c>
      <c r="F17" s="1"/>
      <c r="G17" s="1"/>
      <c r="H17" s="48" t="s">
        <v>19</v>
      </c>
      <c r="I17" s="354" t="s">
        <v>20</v>
      </c>
      <c r="J17" s="431"/>
      <c r="K17" s="49" t="s">
        <v>1</v>
      </c>
      <c r="L17" s="1"/>
    </row>
    <row r="18" spans="1:12" ht="14.25" customHeight="1">
      <c r="A18" s="1"/>
      <c r="B18" s="48" t="s">
        <v>19</v>
      </c>
      <c r="C18" s="354" t="s">
        <v>20</v>
      </c>
      <c r="D18" s="431"/>
      <c r="E18" s="49" t="s">
        <v>1</v>
      </c>
      <c r="F18" s="1"/>
      <c r="G18" s="43"/>
      <c r="H18" s="48" t="s">
        <v>45</v>
      </c>
      <c r="I18" s="354" t="s">
        <v>102</v>
      </c>
      <c r="J18" s="432"/>
      <c r="K18" s="49" t="s">
        <v>4</v>
      </c>
      <c r="L18" s="1"/>
    </row>
    <row r="19" spans="1:12" ht="14.25" customHeight="1" thickBot="1">
      <c r="A19" s="1"/>
      <c r="B19" s="48" t="s">
        <v>41</v>
      </c>
      <c r="C19" s="354" t="s">
        <v>117</v>
      </c>
      <c r="D19" s="431"/>
      <c r="E19" s="49" t="s">
        <v>2</v>
      </c>
      <c r="F19" s="1"/>
      <c r="G19" s="43"/>
      <c r="H19" s="52"/>
      <c r="I19" s="355"/>
      <c r="J19" s="2"/>
      <c r="K19" s="54"/>
      <c r="L19" s="1"/>
    </row>
    <row r="20" spans="1:12" ht="14.25" customHeight="1" thickTop="1">
      <c r="A20" s="1"/>
      <c r="B20" s="48" t="s">
        <v>118</v>
      </c>
      <c r="C20" s="354" t="s">
        <v>22</v>
      </c>
      <c r="D20" s="28"/>
      <c r="E20" s="49" t="s">
        <v>2</v>
      </c>
      <c r="F20" s="64"/>
      <c r="G20" s="43"/>
      <c r="H20" s="66" t="s">
        <v>108</v>
      </c>
      <c r="I20" s="354"/>
      <c r="J20" s="67"/>
      <c r="K20" s="49"/>
      <c r="L20" s="1"/>
    </row>
    <row r="21" spans="1:12" ht="14.25" customHeight="1" thickBot="1">
      <c r="A21" s="1"/>
      <c r="B21" s="50"/>
      <c r="C21" s="354"/>
      <c r="D21" s="8"/>
      <c r="E21" s="49"/>
      <c r="F21" s="64"/>
      <c r="G21" s="1"/>
      <c r="H21" s="50" t="s">
        <v>39</v>
      </c>
      <c r="I21" s="356" t="s">
        <v>22</v>
      </c>
      <c r="J21" s="65"/>
      <c r="K21" s="49" t="s">
        <v>2</v>
      </c>
      <c r="L21" s="60"/>
    </row>
    <row r="22" spans="1:12" ht="14.25" customHeight="1" thickTop="1">
      <c r="A22" s="1"/>
      <c r="B22" s="44" t="s">
        <v>110</v>
      </c>
      <c r="C22" s="357"/>
      <c r="D22" s="73" t="s">
        <v>0</v>
      </c>
      <c r="E22" s="46" t="s">
        <v>0</v>
      </c>
      <c r="F22" s="1"/>
      <c r="G22" s="1"/>
      <c r="H22" s="48" t="s">
        <v>40</v>
      </c>
      <c r="I22" s="354" t="s">
        <v>7</v>
      </c>
      <c r="J22" s="4"/>
      <c r="K22" s="49" t="s">
        <v>28</v>
      </c>
      <c r="L22" s="1"/>
    </row>
    <row r="23" spans="1:12" ht="14.25" customHeight="1">
      <c r="A23" s="1"/>
      <c r="B23" s="50" t="s">
        <v>23</v>
      </c>
      <c r="C23" s="356" t="s">
        <v>102</v>
      </c>
      <c r="D23" s="433">
        <f>IF(D20="","",(+D25*D26))</f>
      </c>
      <c r="E23" s="49" t="s">
        <v>4</v>
      </c>
      <c r="F23" s="1"/>
      <c r="G23" s="1"/>
      <c r="H23" s="48" t="s">
        <v>38</v>
      </c>
      <c r="I23" s="354" t="s">
        <v>112</v>
      </c>
      <c r="J23" s="4"/>
      <c r="K23" s="49" t="s">
        <v>2</v>
      </c>
      <c r="L23" s="1"/>
    </row>
    <row r="24" spans="1:12" ht="14.25" customHeight="1">
      <c r="A24" s="1"/>
      <c r="B24" s="50" t="s">
        <v>35</v>
      </c>
      <c r="C24" s="356" t="s">
        <v>36</v>
      </c>
      <c r="D24" s="434">
        <f>IF(D20="","",(+D25/(32.2*D30)^0.5))</f>
      </c>
      <c r="E24" s="49"/>
      <c r="F24" s="1"/>
      <c r="G24" s="1"/>
      <c r="H24" s="48" t="s">
        <v>109</v>
      </c>
      <c r="I24" s="354" t="s">
        <v>51</v>
      </c>
      <c r="J24" s="4"/>
      <c r="K24" s="49" t="s">
        <v>2</v>
      </c>
      <c r="L24" s="60"/>
    </row>
    <row r="25" spans="1:12" ht="14.25" customHeight="1">
      <c r="A25" s="1"/>
      <c r="B25" s="50" t="s">
        <v>37</v>
      </c>
      <c r="C25" s="356" t="s">
        <v>9</v>
      </c>
      <c r="D25" s="434">
        <f>IF(D20="","",(1.49/D15*D29^(2/3)*D14^0.5))</f>
      </c>
      <c r="E25" s="49" t="s">
        <v>3</v>
      </c>
      <c r="F25" s="1"/>
      <c r="G25" s="1"/>
      <c r="H25" s="48" t="s">
        <v>47</v>
      </c>
      <c r="I25" s="354" t="s">
        <v>9</v>
      </c>
      <c r="J25" s="4"/>
      <c r="K25" s="49" t="s">
        <v>3</v>
      </c>
      <c r="L25" s="60"/>
    </row>
    <row r="26" spans="1:12" ht="14.25" customHeight="1">
      <c r="A26" s="1"/>
      <c r="B26" s="48" t="s">
        <v>26</v>
      </c>
      <c r="C26" s="354" t="s">
        <v>7</v>
      </c>
      <c r="D26" s="435">
        <f>IF(D20="","",(0.5*(D27+D16)*D20))</f>
      </c>
      <c r="E26" s="49" t="s">
        <v>28</v>
      </c>
      <c r="F26" s="1"/>
      <c r="H26" s="50" t="s">
        <v>46</v>
      </c>
      <c r="I26" s="356" t="s">
        <v>36</v>
      </c>
      <c r="J26" s="429"/>
      <c r="K26" s="49"/>
      <c r="L26" s="1"/>
    </row>
    <row r="27" spans="1:12" ht="14.25" customHeight="1">
      <c r="A27" s="1"/>
      <c r="B27" s="48" t="s">
        <v>24</v>
      </c>
      <c r="C27" s="354" t="s">
        <v>112</v>
      </c>
      <c r="D27" s="436">
        <f>IF(D20="","",(+D16+(D18+D17)*D20))</f>
      </c>
      <c r="E27" s="49" t="s">
        <v>2</v>
      </c>
      <c r="F27" s="1"/>
      <c r="H27" s="48" t="s">
        <v>48</v>
      </c>
      <c r="I27" s="354" t="s">
        <v>103</v>
      </c>
      <c r="J27" s="4"/>
      <c r="K27" s="49" t="s">
        <v>2</v>
      </c>
      <c r="L27" s="1"/>
    </row>
    <row r="28" spans="1:12" ht="14.25" customHeight="1">
      <c r="A28" s="1"/>
      <c r="B28" s="48" t="s">
        <v>31</v>
      </c>
      <c r="C28" s="354" t="s">
        <v>103</v>
      </c>
      <c r="D28" s="436">
        <f>IF(D20="","",(+D16+((1+D18^2)^0.5+(1+D17^2)^0.5)*D20))</f>
      </c>
      <c r="E28" s="49" t="s">
        <v>2</v>
      </c>
      <c r="F28" s="1"/>
      <c r="H28" s="48" t="s">
        <v>49</v>
      </c>
      <c r="I28" s="354" t="s">
        <v>113</v>
      </c>
      <c r="J28" s="4"/>
      <c r="K28" s="49" t="s">
        <v>2</v>
      </c>
      <c r="L28" s="1"/>
    </row>
    <row r="29" spans="1:12" ht="14.25" customHeight="1">
      <c r="A29" s="1"/>
      <c r="B29" s="48" t="s">
        <v>29</v>
      </c>
      <c r="C29" s="354" t="s">
        <v>113</v>
      </c>
      <c r="D29" s="436">
        <f>IF(D20="","",(+D26/D28))</f>
      </c>
      <c r="E29" s="49" t="s">
        <v>2</v>
      </c>
      <c r="F29" s="1"/>
      <c r="H29" s="48" t="s">
        <v>104</v>
      </c>
      <c r="I29" s="354" t="s">
        <v>604</v>
      </c>
      <c r="J29" s="4"/>
      <c r="K29" s="49" t="s">
        <v>2</v>
      </c>
      <c r="L29" s="1"/>
    </row>
    <row r="30" spans="1:12" ht="14.25" customHeight="1">
      <c r="A30" s="1"/>
      <c r="B30" s="48" t="s">
        <v>34</v>
      </c>
      <c r="C30" s="354" t="s">
        <v>51</v>
      </c>
      <c r="D30" s="436">
        <f>IF(D20="","",(+D26/D27))</f>
      </c>
      <c r="E30" s="49" t="s">
        <v>2</v>
      </c>
      <c r="F30" s="1"/>
      <c r="H30" s="48" t="s">
        <v>50</v>
      </c>
      <c r="I30" s="354" t="s">
        <v>605</v>
      </c>
      <c r="J30" s="4"/>
      <c r="K30" s="49" t="s">
        <v>2</v>
      </c>
      <c r="L30" s="1"/>
    </row>
    <row r="31" spans="1:12" ht="14.25" customHeight="1">
      <c r="A31" s="1"/>
      <c r="B31" s="48" t="s">
        <v>42</v>
      </c>
      <c r="C31" s="354" t="s">
        <v>114</v>
      </c>
      <c r="D31" s="436">
        <f>IF(D20="","",(D20+D25^2/64.4))</f>
      </c>
      <c r="E31" s="49" t="s">
        <v>2</v>
      </c>
      <c r="F31" s="1"/>
      <c r="H31" s="48" t="s">
        <v>105</v>
      </c>
      <c r="I31" s="354" t="s">
        <v>606</v>
      </c>
      <c r="J31" s="4"/>
      <c r="K31" s="49" t="s">
        <v>374</v>
      </c>
      <c r="L31" s="1"/>
    </row>
    <row r="32" spans="1:12" ht="14.25" customHeight="1" thickBot="1">
      <c r="A32" s="1"/>
      <c r="B32" s="48" t="s">
        <v>44</v>
      </c>
      <c r="C32" s="354" t="s">
        <v>115</v>
      </c>
      <c r="D32" s="436">
        <f>IF(D20="","",((0.5*D20*D20*D16+0.33*D20*0.5*D20*D17*D20+0.33*D20*0.5*D20*D18*D20)/D26))</f>
      </c>
      <c r="E32" s="49" t="s">
        <v>2</v>
      </c>
      <c r="F32" s="1"/>
      <c r="H32" s="68"/>
      <c r="I32" s="69"/>
      <c r="J32" s="7"/>
      <c r="K32" s="70"/>
      <c r="L32" s="1"/>
    </row>
    <row r="33" spans="1:10" ht="14.25" customHeight="1" thickTop="1">
      <c r="A33" s="1"/>
      <c r="B33" s="48" t="s">
        <v>43</v>
      </c>
      <c r="C33" s="354" t="s">
        <v>116</v>
      </c>
      <c r="D33" s="436">
        <f>IF(D20="","",((62.4*D32*D26+1.94*D23*D25)/1000))</f>
      </c>
      <c r="E33" s="49" t="s">
        <v>374</v>
      </c>
      <c r="F33" s="1"/>
      <c r="J33" s="71"/>
    </row>
    <row r="34" spans="1:10" ht="4.5" customHeight="1" thickBot="1">
      <c r="A34" s="1"/>
      <c r="B34" s="59"/>
      <c r="C34" s="53"/>
      <c r="D34" s="2"/>
      <c r="E34" s="54"/>
      <c r="F34" s="1"/>
      <c r="J34" s="71"/>
    </row>
    <row r="35" spans="1:6" ht="14.25" customHeight="1" thickTop="1">
      <c r="A35" s="1"/>
      <c r="F35" s="1"/>
    </row>
    <row r="36" spans="1:6" ht="13.5" customHeight="1">
      <c r="A36" s="1"/>
      <c r="B36" s="1"/>
      <c r="C36" s="1"/>
      <c r="D36" s="74"/>
      <c r="E36" s="1"/>
      <c r="F36" s="1"/>
    </row>
    <row r="37" spans="1:6" ht="13.5" customHeight="1">
      <c r="A37" s="1"/>
      <c r="B37" s="1"/>
      <c r="C37" s="1"/>
      <c r="D37" s="74"/>
      <c r="E37" s="1"/>
      <c r="F37" s="1"/>
    </row>
    <row r="38" spans="1:6" ht="13.5" customHeight="1">
      <c r="A38" s="1"/>
      <c r="B38" s="1"/>
      <c r="C38" s="1"/>
      <c r="D38" s="74"/>
      <c r="E38" s="1"/>
      <c r="F38" s="1"/>
    </row>
    <row r="39" spans="1:6" ht="13.5" customHeight="1">
      <c r="A39" s="1"/>
      <c r="B39" s="1"/>
      <c r="C39" s="1"/>
      <c r="D39" s="74"/>
      <c r="E39" s="1"/>
      <c r="F39" s="1"/>
    </row>
    <row r="40" spans="1:6" ht="13.5" customHeight="1">
      <c r="A40" s="1"/>
      <c r="B40" s="1"/>
      <c r="C40" s="1"/>
      <c r="D40" s="74"/>
      <c r="E40" s="1"/>
      <c r="F40" s="1"/>
    </row>
    <row r="41" spans="1:6" ht="13.5" customHeight="1">
      <c r="A41" s="1"/>
      <c r="B41" s="1"/>
      <c r="C41" s="1"/>
      <c r="D41" s="74"/>
      <c r="E41" s="1"/>
      <c r="F41" s="1"/>
    </row>
    <row r="42" spans="1:6" ht="13.5" customHeight="1">
      <c r="A42" s="1"/>
      <c r="B42" s="1"/>
      <c r="C42" s="1"/>
      <c r="D42" s="74"/>
      <c r="E42" s="1"/>
      <c r="F42" s="1"/>
    </row>
    <row r="43" ht="13.5" customHeight="1"/>
    <row r="44" ht="13.5" customHeight="1"/>
    <row r="45" ht="13.5" customHeight="1"/>
    <row r="46" ht="13.5" customHeight="1"/>
    <row r="47" ht="13.5" customHeight="1"/>
    <row r="48" spans="1:6" ht="13.5" customHeight="1">
      <c r="A48" s="1"/>
      <c r="B48" s="1"/>
      <c r="C48" s="1"/>
      <c r="D48" s="74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5" spans="1:6" ht="13.5" customHeight="1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1"/>
      <c r="C61" s="1"/>
      <c r="D61" s="1"/>
      <c r="E61" s="1"/>
      <c r="F61" s="1"/>
    </row>
    <row r="62" spans="1:6" ht="13.5" customHeight="1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</sheetData>
  <sheetProtection password="D2C3" sheet="1" objects="1" scenarios="1" formatCells="0" formatColumns="0" formatRows="0"/>
  <mergeCells count="6">
    <mergeCell ref="A2:F2"/>
    <mergeCell ref="G2:L2"/>
    <mergeCell ref="B4:F4"/>
    <mergeCell ref="B5:F5"/>
    <mergeCell ref="H4:L4"/>
    <mergeCell ref="H5:L5"/>
  </mergeCells>
  <printOptions horizontalCentered="1"/>
  <pageMargins left="0.75" right="0.75" top="0.75" bottom="0.75" header="0.5" footer="0.5"/>
  <pageSetup fitToWidth="2" horizontalDpi="300" verticalDpi="300" orientation="portrait" r:id="rId3"/>
  <headerFooter alignWithMargins="0">
    <oddFooter>&amp;L&amp;F, &amp;A&amp;R&amp;D, &amp;T</oddFooter>
  </headerFooter>
  <colBreaks count="1" manualBreakCount="1">
    <brk id="6" max="34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G39"/>
  <sheetViews>
    <sheetView zoomScale="75" zoomScaleNormal="75" zoomScaleSheetLayoutView="100" workbookViewId="0" topLeftCell="A1">
      <selection activeCell="A1" sqref="A1:H1"/>
    </sheetView>
  </sheetViews>
  <sheetFormatPr defaultColWidth="9.140625" defaultRowHeight="12.75"/>
  <cols>
    <col min="1" max="16" width="12.57421875" style="360" customWidth="1"/>
    <col min="17" max="16384" width="11.421875" style="360" customWidth="1"/>
  </cols>
  <sheetData>
    <row r="1" spans="1:33" ht="24.75" customHeight="1" thickBot="1" thickTop="1">
      <c r="A1" s="557" t="s">
        <v>536</v>
      </c>
      <c r="B1" s="558"/>
      <c r="C1" s="558"/>
      <c r="D1" s="558"/>
      <c r="E1" s="558"/>
      <c r="F1" s="558"/>
      <c r="G1" s="558"/>
      <c r="H1" s="559"/>
      <c r="I1" s="557" t="s">
        <v>536</v>
      </c>
      <c r="J1" s="558"/>
      <c r="K1" s="558"/>
      <c r="L1" s="558"/>
      <c r="M1" s="558"/>
      <c r="N1" s="558"/>
      <c r="O1" s="558"/>
      <c r="P1" s="559"/>
      <c r="T1" s="468"/>
      <c r="U1" s="468"/>
      <c r="V1" s="469"/>
      <c r="W1" s="469"/>
      <c r="X1" s="469"/>
      <c r="Y1" s="469"/>
      <c r="Z1" s="469"/>
      <c r="AA1" s="469"/>
      <c r="AB1" s="469"/>
      <c r="AC1" s="469"/>
      <c r="AD1" s="469"/>
      <c r="AE1" s="468"/>
      <c r="AF1" s="468"/>
      <c r="AG1" s="468"/>
    </row>
    <row r="2" ht="27" customHeight="1" thickTop="1">
      <c r="D2" s="470"/>
    </row>
    <row r="3" ht="27" customHeight="1">
      <c r="D3" s="470"/>
    </row>
    <row r="4" ht="27" customHeight="1">
      <c r="D4" s="470"/>
    </row>
    <row r="5" ht="27" customHeight="1">
      <c r="D5" s="470"/>
    </row>
    <row r="6" ht="27" customHeight="1">
      <c r="D6" s="470"/>
    </row>
    <row r="7" ht="15">
      <c r="E7" s="409"/>
    </row>
    <row r="8" spans="2:8" ht="15">
      <c r="B8" s="401" t="s">
        <v>13</v>
      </c>
      <c r="D8" s="401"/>
      <c r="E8" s="471" t="s">
        <v>15</v>
      </c>
      <c r="F8" s="522"/>
      <c r="G8" s="472" t="s">
        <v>436</v>
      </c>
      <c r="H8" s="401"/>
    </row>
    <row r="9" spans="2:8" ht="15">
      <c r="B9" s="401" t="s">
        <v>17</v>
      </c>
      <c r="D9" s="401"/>
      <c r="E9" s="471" t="s">
        <v>18</v>
      </c>
      <c r="F9" s="523"/>
      <c r="G9" s="472" t="s">
        <v>1</v>
      </c>
      <c r="H9" s="401"/>
    </row>
    <row r="10" spans="2:8" ht="15">
      <c r="B10" s="401" t="s">
        <v>19</v>
      </c>
      <c r="D10" s="401"/>
      <c r="E10" s="471" t="s">
        <v>20</v>
      </c>
      <c r="F10" s="523"/>
      <c r="G10" s="472" t="s">
        <v>1</v>
      </c>
      <c r="H10" s="401"/>
    </row>
    <row r="11" spans="2:8" ht="15">
      <c r="B11" s="401" t="s">
        <v>626</v>
      </c>
      <c r="D11" s="401"/>
      <c r="E11" s="540" t="str">
        <f>IF(F11="","n =",IF(ISNUMBER(F11),"n =","SCS ="))</f>
        <v>n =</v>
      </c>
      <c r="F11" s="534"/>
      <c r="G11" s="472"/>
      <c r="H11" s="401"/>
    </row>
    <row r="12" spans="2:8" ht="15">
      <c r="B12" s="401" t="s">
        <v>443</v>
      </c>
      <c r="D12" s="401"/>
      <c r="E12" s="471" t="s">
        <v>444</v>
      </c>
      <c r="F12" s="524"/>
      <c r="G12" s="472" t="s">
        <v>1</v>
      </c>
      <c r="H12" s="401"/>
    </row>
    <row r="13" spans="3:8" ht="15">
      <c r="C13" s="401"/>
      <c r="D13" s="401"/>
      <c r="E13" s="471" t="s">
        <v>0</v>
      </c>
      <c r="F13" s="473"/>
      <c r="G13" s="472"/>
      <c r="H13" s="401"/>
    </row>
    <row r="14" spans="1:7" ht="15">
      <c r="A14" s="401"/>
      <c r="B14" s="401"/>
      <c r="C14" s="401"/>
      <c r="D14" s="401"/>
      <c r="E14" s="401"/>
      <c r="F14" s="401"/>
      <c r="G14" s="401"/>
    </row>
    <row r="15" spans="1:11" ht="15.75">
      <c r="A15" s="474" t="s">
        <v>462</v>
      </c>
      <c r="B15" s="474" t="s">
        <v>621</v>
      </c>
      <c r="C15" s="474" t="s">
        <v>462</v>
      </c>
      <c r="D15" s="474" t="s">
        <v>463</v>
      </c>
      <c r="E15" s="474" t="s">
        <v>537</v>
      </c>
      <c r="F15" s="474" t="s">
        <v>462</v>
      </c>
      <c r="G15" s="474" t="s">
        <v>462</v>
      </c>
      <c r="H15" s="474" t="s">
        <v>538</v>
      </c>
      <c r="I15" s="475"/>
      <c r="J15" s="475"/>
      <c r="K15" s="475"/>
    </row>
    <row r="16" spans="1:11" ht="15.75">
      <c r="A16" s="476" t="s">
        <v>475</v>
      </c>
      <c r="B16" s="476" t="s">
        <v>622</v>
      </c>
      <c r="C16" s="476" t="s">
        <v>476</v>
      </c>
      <c r="D16" s="476" t="s">
        <v>539</v>
      </c>
      <c r="E16" s="476" t="s">
        <v>519</v>
      </c>
      <c r="F16" s="476" t="s">
        <v>243</v>
      </c>
      <c r="G16" s="476" t="s">
        <v>540</v>
      </c>
      <c r="H16" s="476" t="s">
        <v>541</v>
      </c>
      <c r="I16" s="475"/>
      <c r="J16" s="475"/>
      <c r="K16" s="475"/>
    </row>
    <row r="17" spans="1:11" ht="15.75">
      <c r="A17" s="476" t="s">
        <v>486</v>
      </c>
      <c r="B17" s="476" t="s">
        <v>623</v>
      </c>
      <c r="C17" s="476" t="s">
        <v>487</v>
      </c>
      <c r="D17" s="476" t="s">
        <v>488</v>
      </c>
      <c r="E17" s="476" t="s">
        <v>489</v>
      </c>
      <c r="F17" s="476" t="s">
        <v>490</v>
      </c>
      <c r="G17" s="476" t="s">
        <v>542</v>
      </c>
      <c r="H17" s="476" t="s">
        <v>543</v>
      </c>
      <c r="I17" s="475"/>
      <c r="J17" s="475"/>
      <c r="K17" s="475"/>
    </row>
    <row r="18" spans="1:17" ht="15.75">
      <c r="A18" s="477" t="s">
        <v>544</v>
      </c>
      <c r="B18" s="477"/>
      <c r="C18" s="477" t="s">
        <v>545</v>
      </c>
      <c r="D18" s="477" t="s">
        <v>544</v>
      </c>
      <c r="E18" s="477" t="s">
        <v>544</v>
      </c>
      <c r="F18" s="477" t="s">
        <v>546</v>
      </c>
      <c r="G18" s="477" t="s">
        <v>547</v>
      </c>
      <c r="H18" s="477" t="s">
        <v>0</v>
      </c>
      <c r="J18" s="535" t="s">
        <v>625</v>
      </c>
      <c r="K18" s="475"/>
      <c r="Q18" s="468" t="s">
        <v>624</v>
      </c>
    </row>
    <row r="19" spans="1:17" ht="15">
      <c r="A19" s="478"/>
      <c r="B19" s="533"/>
      <c r="C19" s="479">
        <f>0.5*($F$8+($F$9+$F$10)*A19+$F$8)*A19</f>
        <v>0</v>
      </c>
      <c r="D19" s="479">
        <f>+(1+$F$9^2)^0.5*A19+(1+$F$10^2)^0.5*A19+$F$8</f>
        <v>0</v>
      </c>
      <c r="E19" s="479">
        <f>IF(D19=0,0,+C19/D19)</f>
        <v>0</v>
      </c>
      <c r="F19" s="480">
        <f>IF(B19="",0,1.486/B19*E19^(2/3)*$F$12^0.5)</f>
        <v>0</v>
      </c>
      <c r="G19" s="480">
        <f>+F19*C19</f>
        <v>0</v>
      </c>
      <c r="H19" s="479">
        <f>IF(C19=0,0,((($F$9+$F$10)*A19+$F$8)*G19^2/(32.2*C19^3))^0.5)</f>
        <v>0</v>
      </c>
      <c r="J19" s="360">
        <f>F19*E19</f>
        <v>0</v>
      </c>
      <c r="Q19" s="360">
        <v>2</v>
      </c>
    </row>
    <row r="20" spans="1:17" ht="15">
      <c r="A20" s="478"/>
      <c r="B20" s="533"/>
      <c r="C20" s="479">
        <f aca="true" t="shared" si="0" ref="C20:C39">0.5*($F$8+($F$9+$F$10)*A20+$F$8)*A20</f>
        <v>0</v>
      </c>
      <c r="D20" s="479">
        <f aca="true" t="shared" si="1" ref="D20:D39">+(1+$F$9^2)^0.5*A20+(1+$F$10^2)^0.5*A20+$F$8</f>
        <v>0</v>
      </c>
      <c r="E20" s="479">
        <f aca="true" t="shared" si="2" ref="E20:E39">IF(D20=0,0,+C20/D20)</f>
        <v>0</v>
      </c>
      <c r="F20" s="480">
        <f aca="true" t="shared" si="3" ref="F20:F39">IF(B20="",0,1.486/B20*E20^(2/3)*$F$12^0.5)</f>
        <v>0</v>
      </c>
      <c r="G20" s="480">
        <f aca="true" t="shared" si="4" ref="G20:G39">+F20*C20</f>
        <v>0</v>
      </c>
      <c r="H20" s="479">
        <f aca="true" t="shared" si="5" ref="H20:H38">IF(C20=0,0,((($F$9+$F$10)*A20+$F$8)*G20^2/(32.2*C20^3))^0.5)</f>
        <v>0</v>
      </c>
      <c r="J20" s="360">
        <f aca="true" t="shared" si="6" ref="J20:J39">F20*E20</f>
        <v>0</v>
      </c>
      <c r="Q20" s="360">
        <v>1</v>
      </c>
    </row>
    <row r="21" spans="1:17" ht="15">
      <c r="A21" s="478"/>
      <c r="B21" s="533"/>
      <c r="C21" s="479">
        <f t="shared" si="0"/>
        <v>0</v>
      </c>
      <c r="D21" s="479">
        <f t="shared" si="1"/>
        <v>0</v>
      </c>
      <c r="E21" s="479">
        <f t="shared" si="2"/>
        <v>0</v>
      </c>
      <c r="F21" s="480">
        <f t="shared" si="3"/>
        <v>0</v>
      </c>
      <c r="G21" s="480">
        <f t="shared" si="4"/>
        <v>0</v>
      </c>
      <c r="H21" s="479">
        <f t="shared" si="5"/>
        <v>0</v>
      </c>
      <c r="J21" s="360">
        <f t="shared" si="6"/>
        <v>0</v>
      </c>
      <c r="Q21" s="360">
        <v>1</v>
      </c>
    </row>
    <row r="22" spans="1:17" ht="15">
      <c r="A22" s="478"/>
      <c r="B22" s="533"/>
      <c r="C22" s="479">
        <f t="shared" si="0"/>
        <v>0</v>
      </c>
      <c r="D22" s="479">
        <f t="shared" si="1"/>
        <v>0</v>
      </c>
      <c r="E22" s="479">
        <f t="shared" si="2"/>
        <v>0</v>
      </c>
      <c r="F22" s="480">
        <f t="shared" si="3"/>
        <v>0</v>
      </c>
      <c r="G22" s="480">
        <f t="shared" si="4"/>
        <v>0</v>
      </c>
      <c r="H22" s="479">
        <f t="shared" si="5"/>
        <v>0</v>
      </c>
      <c r="J22" s="360">
        <f t="shared" si="6"/>
        <v>0</v>
      </c>
      <c r="Q22" s="360">
        <v>4</v>
      </c>
    </row>
    <row r="23" spans="1:17" ht="15">
      <c r="A23" s="478"/>
      <c r="B23" s="533"/>
      <c r="C23" s="479">
        <f t="shared" si="0"/>
        <v>0</v>
      </c>
      <c r="D23" s="479">
        <f t="shared" si="1"/>
        <v>0</v>
      </c>
      <c r="E23" s="479">
        <f t="shared" si="2"/>
        <v>0</v>
      </c>
      <c r="F23" s="480">
        <f t="shared" si="3"/>
        <v>0</v>
      </c>
      <c r="G23" s="480">
        <f t="shared" si="4"/>
        <v>0</v>
      </c>
      <c r="H23" s="479">
        <f t="shared" si="5"/>
        <v>0</v>
      </c>
      <c r="J23" s="360">
        <f t="shared" si="6"/>
        <v>0</v>
      </c>
      <c r="Q23" s="360">
        <v>3</v>
      </c>
    </row>
    <row r="24" spans="1:17" ht="15">
      <c r="A24" s="478"/>
      <c r="B24" s="533"/>
      <c r="C24" s="479">
        <f t="shared" si="0"/>
        <v>0</v>
      </c>
      <c r="D24" s="479">
        <f t="shared" si="1"/>
        <v>0</v>
      </c>
      <c r="E24" s="479">
        <f t="shared" si="2"/>
        <v>0</v>
      </c>
      <c r="F24" s="480">
        <f t="shared" si="3"/>
        <v>0</v>
      </c>
      <c r="G24" s="480">
        <f t="shared" si="4"/>
        <v>0</v>
      </c>
      <c r="H24" s="479">
        <f t="shared" si="5"/>
        <v>0</v>
      </c>
      <c r="J24" s="360">
        <f t="shared" si="6"/>
        <v>0</v>
      </c>
      <c r="Q24" s="360">
        <v>4</v>
      </c>
    </row>
    <row r="25" spans="1:17" ht="15">
      <c r="A25" s="478"/>
      <c r="B25" s="533"/>
      <c r="C25" s="479">
        <f t="shared" si="0"/>
        <v>0</v>
      </c>
      <c r="D25" s="479">
        <f t="shared" si="1"/>
        <v>0</v>
      </c>
      <c r="E25" s="479">
        <f t="shared" si="2"/>
        <v>0</v>
      </c>
      <c r="F25" s="480">
        <f t="shared" si="3"/>
        <v>0</v>
      </c>
      <c r="G25" s="480">
        <f t="shared" si="4"/>
        <v>0</v>
      </c>
      <c r="H25" s="479">
        <f t="shared" si="5"/>
        <v>0</v>
      </c>
      <c r="J25" s="360">
        <f t="shared" si="6"/>
        <v>0</v>
      </c>
      <c r="Q25" s="360">
        <v>8</v>
      </c>
    </row>
    <row r="26" spans="1:17" ht="15">
      <c r="A26" s="478"/>
      <c r="B26" s="533"/>
      <c r="C26" s="479">
        <f t="shared" si="0"/>
        <v>0</v>
      </c>
      <c r="D26" s="479">
        <f t="shared" si="1"/>
        <v>0</v>
      </c>
      <c r="E26" s="479">
        <f t="shared" si="2"/>
        <v>0</v>
      </c>
      <c r="F26" s="480">
        <f t="shared" si="3"/>
        <v>0</v>
      </c>
      <c r="G26" s="480">
        <f t="shared" si="4"/>
        <v>0</v>
      </c>
      <c r="H26" s="479">
        <f t="shared" si="5"/>
        <v>0</v>
      </c>
      <c r="J26" s="360">
        <f t="shared" si="6"/>
        <v>0</v>
      </c>
      <c r="Q26" s="360">
        <v>26</v>
      </c>
    </row>
    <row r="27" spans="1:17" ht="15">
      <c r="A27" s="478"/>
      <c r="B27" s="533"/>
      <c r="C27" s="479">
        <f t="shared" si="0"/>
        <v>0</v>
      </c>
      <c r="D27" s="479">
        <f t="shared" si="1"/>
        <v>0</v>
      </c>
      <c r="E27" s="479">
        <f t="shared" si="2"/>
        <v>0</v>
      </c>
      <c r="F27" s="480">
        <f t="shared" si="3"/>
        <v>0</v>
      </c>
      <c r="G27" s="480">
        <f t="shared" si="4"/>
        <v>0</v>
      </c>
      <c r="H27" s="479">
        <f t="shared" si="5"/>
        <v>0</v>
      </c>
      <c r="J27" s="360">
        <f t="shared" si="6"/>
        <v>0</v>
      </c>
      <c r="Q27" s="360">
        <v>18</v>
      </c>
    </row>
    <row r="28" spans="1:17" ht="15">
      <c r="A28" s="478"/>
      <c r="B28" s="533"/>
      <c r="C28" s="479">
        <f t="shared" si="0"/>
        <v>0</v>
      </c>
      <c r="D28" s="479">
        <f t="shared" si="1"/>
        <v>0</v>
      </c>
      <c r="E28" s="479">
        <f t="shared" si="2"/>
        <v>0</v>
      </c>
      <c r="F28" s="480">
        <f t="shared" si="3"/>
        <v>0</v>
      </c>
      <c r="G28" s="480">
        <f t="shared" si="4"/>
        <v>0</v>
      </c>
      <c r="H28" s="479">
        <f t="shared" si="5"/>
        <v>0</v>
      </c>
      <c r="J28" s="360">
        <f t="shared" si="6"/>
        <v>0</v>
      </c>
      <c r="Q28" s="360">
        <v>27</v>
      </c>
    </row>
    <row r="29" spans="1:17" ht="15">
      <c r="A29" s="478"/>
      <c r="B29" s="533"/>
      <c r="C29" s="479">
        <f t="shared" si="0"/>
        <v>0</v>
      </c>
      <c r="D29" s="479">
        <f t="shared" si="1"/>
        <v>0</v>
      </c>
      <c r="E29" s="479">
        <f t="shared" si="2"/>
        <v>0</v>
      </c>
      <c r="F29" s="480">
        <f t="shared" si="3"/>
        <v>0</v>
      </c>
      <c r="G29" s="480">
        <f t="shared" si="4"/>
        <v>0</v>
      </c>
      <c r="H29" s="479">
        <f t="shared" si="5"/>
        <v>0</v>
      </c>
      <c r="J29" s="360">
        <f t="shared" si="6"/>
        <v>0</v>
      </c>
      <c r="Q29" s="360">
        <v>13</v>
      </c>
    </row>
    <row r="30" spans="1:17" ht="15">
      <c r="A30" s="478"/>
      <c r="B30" s="533"/>
      <c r="C30" s="479">
        <f t="shared" si="0"/>
        <v>0</v>
      </c>
      <c r="D30" s="479">
        <f t="shared" si="1"/>
        <v>0</v>
      </c>
      <c r="E30" s="479">
        <f t="shared" si="2"/>
        <v>0</v>
      </c>
      <c r="F30" s="480">
        <f t="shared" si="3"/>
        <v>0</v>
      </c>
      <c r="G30" s="480">
        <f t="shared" si="4"/>
        <v>0</v>
      </c>
      <c r="H30" s="479">
        <f t="shared" si="5"/>
        <v>0</v>
      </c>
      <c r="J30" s="360">
        <f t="shared" si="6"/>
        <v>0</v>
      </c>
      <c r="Q30" s="360">
        <v>13</v>
      </c>
    </row>
    <row r="31" spans="1:17" ht="15">
      <c r="A31" s="478"/>
      <c r="B31" s="533"/>
      <c r="C31" s="479">
        <f t="shared" si="0"/>
        <v>0</v>
      </c>
      <c r="D31" s="479">
        <f t="shared" si="1"/>
        <v>0</v>
      </c>
      <c r="E31" s="479">
        <f t="shared" si="2"/>
        <v>0</v>
      </c>
      <c r="F31" s="480">
        <f t="shared" si="3"/>
        <v>0</v>
      </c>
      <c r="G31" s="480">
        <f t="shared" si="4"/>
        <v>0</v>
      </c>
      <c r="H31" s="479">
        <f t="shared" si="5"/>
        <v>0</v>
      </c>
      <c r="J31" s="360">
        <f t="shared" si="6"/>
        <v>0</v>
      </c>
      <c r="Q31" s="360">
        <v>12</v>
      </c>
    </row>
    <row r="32" spans="1:17" ht="15">
      <c r="A32" s="478"/>
      <c r="B32" s="533"/>
      <c r="C32" s="479">
        <f t="shared" si="0"/>
        <v>0</v>
      </c>
      <c r="D32" s="479">
        <f t="shared" si="1"/>
        <v>0</v>
      </c>
      <c r="E32" s="479">
        <f t="shared" si="2"/>
        <v>0</v>
      </c>
      <c r="F32" s="480">
        <f t="shared" si="3"/>
        <v>0</v>
      </c>
      <c r="G32" s="480">
        <f t="shared" si="4"/>
        <v>0</v>
      </c>
      <c r="H32" s="479">
        <f t="shared" si="5"/>
        <v>0</v>
      </c>
      <c r="J32" s="360">
        <f t="shared" si="6"/>
        <v>0</v>
      </c>
      <c r="Q32" s="360">
        <v>10</v>
      </c>
    </row>
    <row r="33" spans="1:17" ht="15">
      <c r="A33" s="478"/>
      <c r="B33" s="533"/>
      <c r="C33" s="479">
        <f t="shared" si="0"/>
        <v>0</v>
      </c>
      <c r="D33" s="479">
        <f t="shared" si="1"/>
        <v>0</v>
      </c>
      <c r="E33" s="479">
        <f t="shared" si="2"/>
        <v>0</v>
      </c>
      <c r="F33" s="480">
        <f t="shared" si="3"/>
        <v>0</v>
      </c>
      <c r="G33" s="480">
        <f t="shared" si="4"/>
        <v>0</v>
      </c>
      <c r="H33" s="479">
        <f t="shared" si="5"/>
        <v>0</v>
      </c>
      <c r="J33" s="360">
        <f t="shared" si="6"/>
        <v>0</v>
      </c>
      <c r="Q33" s="360">
        <v>12</v>
      </c>
    </row>
    <row r="34" spans="1:17" ht="15">
      <c r="A34" s="478"/>
      <c r="B34" s="533"/>
      <c r="C34" s="479">
        <f t="shared" si="0"/>
        <v>0</v>
      </c>
      <c r="D34" s="479">
        <f t="shared" si="1"/>
        <v>0</v>
      </c>
      <c r="E34" s="479">
        <f t="shared" si="2"/>
        <v>0</v>
      </c>
      <c r="F34" s="480">
        <f t="shared" si="3"/>
        <v>0</v>
      </c>
      <c r="G34" s="480">
        <f t="shared" si="4"/>
        <v>0</v>
      </c>
      <c r="H34" s="479">
        <f t="shared" si="5"/>
        <v>0</v>
      </c>
      <c r="J34" s="360">
        <f t="shared" si="6"/>
        <v>0</v>
      </c>
      <c r="Q34" s="360">
        <v>10</v>
      </c>
    </row>
    <row r="35" spans="1:17" ht="15">
      <c r="A35" s="478"/>
      <c r="B35" s="533"/>
      <c r="C35" s="479">
        <f t="shared" si="0"/>
        <v>0</v>
      </c>
      <c r="D35" s="479">
        <f t="shared" si="1"/>
        <v>0</v>
      </c>
      <c r="E35" s="479">
        <f t="shared" si="2"/>
        <v>0</v>
      </c>
      <c r="F35" s="480">
        <f t="shared" si="3"/>
        <v>0</v>
      </c>
      <c r="G35" s="480">
        <f t="shared" si="4"/>
        <v>0</v>
      </c>
      <c r="H35" s="479">
        <f t="shared" si="5"/>
        <v>0</v>
      </c>
      <c r="J35" s="360">
        <f t="shared" si="6"/>
        <v>0</v>
      </c>
      <c r="Q35" s="360">
        <v>7</v>
      </c>
    </row>
    <row r="36" spans="1:17" ht="15">
      <c r="A36" s="478"/>
      <c r="B36" s="533"/>
      <c r="C36" s="479">
        <f t="shared" si="0"/>
        <v>0</v>
      </c>
      <c r="D36" s="479">
        <f t="shared" si="1"/>
        <v>0</v>
      </c>
      <c r="E36" s="479">
        <f t="shared" si="2"/>
        <v>0</v>
      </c>
      <c r="F36" s="480">
        <f t="shared" si="3"/>
        <v>0</v>
      </c>
      <c r="G36" s="480">
        <f t="shared" si="4"/>
        <v>0</v>
      </c>
      <c r="H36" s="479">
        <f t="shared" si="5"/>
        <v>0</v>
      </c>
      <c r="J36" s="360">
        <f t="shared" si="6"/>
        <v>0</v>
      </c>
      <c r="Q36" s="360">
        <v>6</v>
      </c>
    </row>
    <row r="37" spans="1:17" ht="15">
      <c r="A37" s="478"/>
      <c r="B37" s="533"/>
      <c r="C37" s="479">
        <f t="shared" si="0"/>
        <v>0</v>
      </c>
      <c r="D37" s="479">
        <f t="shared" si="1"/>
        <v>0</v>
      </c>
      <c r="E37" s="479">
        <f t="shared" si="2"/>
        <v>0</v>
      </c>
      <c r="F37" s="480">
        <f t="shared" si="3"/>
        <v>0</v>
      </c>
      <c r="G37" s="480">
        <f t="shared" si="4"/>
        <v>0</v>
      </c>
      <c r="H37" s="479">
        <f t="shared" si="5"/>
        <v>0</v>
      </c>
      <c r="J37" s="360">
        <f t="shared" si="6"/>
        <v>0</v>
      </c>
      <c r="Q37" s="360">
        <v>6</v>
      </c>
    </row>
    <row r="38" spans="1:17" ht="15">
      <c r="A38" s="478"/>
      <c r="B38" s="533"/>
      <c r="C38" s="479">
        <f t="shared" si="0"/>
        <v>0</v>
      </c>
      <c r="D38" s="479">
        <f t="shared" si="1"/>
        <v>0</v>
      </c>
      <c r="E38" s="479">
        <f t="shared" si="2"/>
        <v>0</v>
      </c>
      <c r="F38" s="480">
        <f t="shared" si="3"/>
        <v>0</v>
      </c>
      <c r="G38" s="480">
        <f t="shared" si="4"/>
        <v>0</v>
      </c>
      <c r="H38" s="479">
        <f t="shared" si="5"/>
        <v>0</v>
      </c>
      <c r="J38" s="360">
        <f t="shared" si="6"/>
        <v>0</v>
      </c>
      <c r="Q38" s="360">
        <v>6</v>
      </c>
    </row>
    <row r="39" spans="1:17" ht="15">
      <c r="A39" s="478"/>
      <c r="B39" s="533"/>
      <c r="C39" s="479">
        <f t="shared" si="0"/>
        <v>0</v>
      </c>
      <c r="D39" s="479">
        <f t="shared" si="1"/>
        <v>0</v>
      </c>
      <c r="E39" s="479">
        <f t="shared" si="2"/>
        <v>0</v>
      </c>
      <c r="F39" s="480">
        <f t="shared" si="3"/>
        <v>0</v>
      </c>
      <c r="G39" s="480">
        <f t="shared" si="4"/>
        <v>0</v>
      </c>
      <c r="H39" s="479">
        <f>IF(C39=0,0,((($F$9+$F$10)*A39+$F$8)*G39^2/(32.2*C39^3))^0.5)</f>
        <v>0</v>
      </c>
      <c r="J39" s="360">
        <f t="shared" si="6"/>
        <v>0</v>
      </c>
      <c r="Q39" s="360">
        <v>6</v>
      </c>
    </row>
  </sheetData>
  <sheetProtection password="D2C3" sheet="1" objects="1" scenarios="1" formatCells="0" formatColumns="0" formatRows="0"/>
  <mergeCells count="2">
    <mergeCell ref="A1:H1"/>
    <mergeCell ref="I1:P1"/>
  </mergeCells>
  <printOptions horizontalCentered="1"/>
  <pageMargins left="0.5" right="0.5" top="0.5" bottom="0.5" header="0.5" footer="0.5"/>
  <pageSetup fitToWidth="2" horizontalDpi="600" verticalDpi="600" orientation="portrait" scale="96" r:id="rId4"/>
  <headerFooter alignWithMargins="0">
    <oddFooter>&amp;L&amp;10&amp;F, &amp;A&amp;R&amp;10&amp;D, &amp;T</oddFooter>
  </headerFooter>
  <colBreaks count="1" manualBreakCount="1">
    <brk id="8" max="41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39"/>
  <sheetViews>
    <sheetView zoomScale="75" zoomScaleNormal="75" zoomScaleSheetLayoutView="65" workbookViewId="0" topLeftCell="A1">
      <selection activeCell="A1" sqref="A1:F1"/>
    </sheetView>
  </sheetViews>
  <sheetFormatPr defaultColWidth="9.140625" defaultRowHeight="12.75"/>
  <cols>
    <col min="1" max="12" width="14.57421875" style="360" customWidth="1"/>
    <col min="13" max="16384" width="11.421875" style="360" customWidth="1"/>
  </cols>
  <sheetData>
    <row r="1" spans="1:26" ht="24.75" customHeight="1" thickBot="1" thickTop="1">
      <c r="A1" s="560" t="s">
        <v>549</v>
      </c>
      <c r="B1" s="560"/>
      <c r="C1" s="560"/>
      <c r="D1" s="560"/>
      <c r="E1" s="560"/>
      <c r="F1" s="560"/>
      <c r="G1" s="560" t="s">
        <v>549</v>
      </c>
      <c r="H1" s="560"/>
      <c r="I1" s="560"/>
      <c r="J1" s="560"/>
      <c r="K1" s="560"/>
      <c r="L1" s="560"/>
      <c r="S1" s="561" t="s">
        <v>549</v>
      </c>
      <c r="T1" s="562"/>
      <c r="U1" s="562"/>
      <c r="V1" s="562"/>
      <c r="W1" s="562"/>
      <c r="X1" s="562"/>
      <c r="Y1" s="562"/>
      <c r="Z1" s="563"/>
    </row>
    <row r="2" ht="21" thickTop="1">
      <c r="A2" s="481"/>
    </row>
    <row r="3" ht="20.25">
      <c r="A3" s="481"/>
    </row>
    <row r="4" ht="20.25">
      <c r="A4" s="481"/>
    </row>
    <row r="5" ht="20.25">
      <c r="A5" s="481"/>
    </row>
    <row r="6" ht="20.25">
      <c r="A6" s="481"/>
    </row>
    <row r="7" spans="1:5" ht="15" customHeight="1">
      <c r="A7" s="401"/>
      <c r="B7" s="401"/>
      <c r="C7" s="401"/>
      <c r="D7" s="482"/>
      <c r="E7" s="401"/>
    </row>
    <row r="8" spans="2:6" ht="15" customHeight="1">
      <c r="B8" s="401" t="s">
        <v>13</v>
      </c>
      <c r="C8" s="401"/>
      <c r="D8" s="471" t="s">
        <v>15</v>
      </c>
      <c r="E8" s="365"/>
      <c r="F8" s="472" t="s">
        <v>436</v>
      </c>
    </row>
    <row r="9" spans="2:6" ht="15" customHeight="1">
      <c r="B9" s="401" t="s">
        <v>17</v>
      </c>
      <c r="C9" s="401"/>
      <c r="D9" s="471" t="s">
        <v>18</v>
      </c>
      <c r="E9" s="368"/>
      <c r="F9" s="472" t="s">
        <v>1</v>
      </c>
    </row>
    <row r="10" spans="2:6" ht="15" customHeight="1">
      <c r="B10" s="401" t="s">
        <v>19</v>
      </c>
      <c r="C10" s="401"/>
      <c r="D10" s="471" t="s">
        <v>20</v>
      </c>
      <c r="E10" s="368"/>
      <c r="F10" s="472" t="s">
        <v>1</v>
      </c>
    </row>
    <row r="11" spans="2:6" ht="15" customHeight="1">
      <c r="B11" s="401" t="s">
        <v>446</v>
      </c>
      <c r="C11" s="401"/>
      <c r="D11" s="471" t="s">
        <v>102</v>
      </c>
      <c r="E11" s="483"/>
      <c r="F11" s="472" t="s">
        <v>4</v>
      </c>
    </row>
    <row r="12" spans="1:6" ht="15" customHeight="1">
      <c r="A12" s="401"/>
      <c r="B12" s="401"/>
      <c r="C12" s="401"/>
      <c r="D12" s="472"/>
      <c r="E12" s="472"/>
      <c r="F12" s="472"/>
    </row>
    <row r="13" spans="1:6" ht="15" customHeight="1">
      <c r="A13" s="401"/>
      <c r="B13" s="401"/>
      <c r="C13" s="401"/>
      <c r="D13" s="472"/>
      <c r="E13" s="472"/>
      <c r="F13" s="472"/>
    </row>
    <row r="14" ht="15" customHeight="1"/>
    <row r="15" spans="1:6" ht="15" customHeight="1">
      <c r="A15" s="474" t="s">
        <v>462</v>
      </c>
      <c r="B15" s="474" t="s">
        <v>462</v>
      </c>
      <c r="C15" s="474" t="s">
        <v>550</v>
      </c>
      <c r="D15" s="474" t="s">
        <v>462</v>
      </c>
      <c r="E15" s="474" t="s">
        <v>548</v>
      </c>
      <c r="F15" s="474" t="s">
        <v>538</v>
      </c>
    </row>
    <row r="16" spans="1:6" ht="15" customHeight="1">
      <c r="A16" s="476" t="s">
        <v>475</v>
      </c>
      <c r="B16" s="476" t="s">
        <v>476</v>
      </c>
      <c r="C16" s="476" t="s">
        <v>551</v>
      </c>
      <c r="D16" s="476" t="s">
        <v>243</v>
      </c>
      <c r="E16" s="476" t="s">
        <v>481</v>
      </c>
      <c r="F16" s="476" t="s">
        <v>552</v>
      </c>
    </row>
    <row r="17" spans="1:6" ht="15" customHeight="1">
      <c r="A17" s="476" t="s">
        <v>486</v>
      </c>
      <c r="B17" s="476" t="s">
        <v>487</v>
      </c>
      <c r="C17" s="476" t="s">
        <v>553</v>
      </c>
      <c r="D17" s="476" t="s">
        <v>490</v>
      </c>
      <c r="E17" s="476" t="s">
        <v>492</v>
      </c>
      <c r="F17" s="476" t="s">
        <v>543</v>
      </c>
    </row>
    <row r="18" spans="1:6" ht="15" customHeight="1">
      <c r="A18" s="477" t="s">
        <v>544</v>
      </c>
      <c r="B18" s="477" t="s">
        <v>545</v>
      </c>
      <c r="C18" s="477" t="s">
        <v>544</v>
      </c>
      <c r="D18" s="477" t="s">
        <v>546</v>
      </c>
      <c r="E18" s="477" t="s">
        <v>544</v>
      </c>
      <c r="F18" s="477" t="s">
        <v>0</v>
      </c>
    </row>
    <row r="19" spans="1:6" ht="15" customHeight="1">
      <c r="A19" s="484"/>
      <c r="B19" s="485">
        <f aca="true" t="shared" si="0" ref="B19:B39">IF(A19=0,0,IF(A19="",0,0.5*($E$8+($E$9+$E$10)*A19+$E$8)*A19))</f>
        <v>0</v>
      </c>
      <c r="C19" s="485">
        <f aca="true" t="shared" si="1" ref="C19:C39">$E$8+($E$9+$E$10)*A19</f>
        <v>0</v>
      </c>
      <c r="D19" s="485">
        <f aca="true" t="shared" si="2" ref="D19:D39">IF(B19=0,0,$E$11/B19)</f>
        <v>0</v>
      </c>
      <c r="E19" s="485">
        <f aca="true" t="shared" si="3" ref="E19:E39">A19+D19^2/64.4</f>
        <v>0</v>
      </c>
      <c r="F19" s="485">
        <f aca="true" t="shared" si="4" ref="F19:F39">IF(C19=0,0,IF(B19=0,0,D19/(32.2*(B19/C19))^0.5))</f>
        <v>0</v>
      </c>
    </row>
    <row r="20" spans="1:6" ht="15" customHeight="1">
      <c r="A20" s="484"/>
      <c r="B20" s="485">
        <f t="shared" si="0"/>
        <v>0</v>
      </c>
      <c r="C20" s="485">
        <f t="shared" si="1"/>
        <v>0</v>
      </c>
      <c r="D20" s="485">
        <f t="shared" si="2"/>
        <v>0</v>
      </c>
      <c r="E20" s="485">
        <f t="shared" si="3"/>
        <v>0</v>
      </c>
      <c r="F20" s="485">
        <f t="shared" si="4"/>
        <v>0</v>
      </c>
    </row>
    <row r="21" spans="1:6" ht="15" customHeight="1">
      <c r="A21" s="484"/>
      <c r="B21" s="485">
        <f t="shared" si="0"/>
        <v>0</v>
      </c>
      <c r="C21" s="485">
        <f t="shared" si="1"/>
        <v>0</v>
      </c>
      <c r="D21" s="485">
        <f t="shared" si="2"/>
        <v>0</v>
      </c>
      <c r="E21" s="485">
        <f t="shared" si="3"/>
        <v>0</v>
      </c>
      <c r="F21" s="485">
        <f t="shared" si="4"/>
        <v>0</v>
      </c>
    </row>
    <row r="22" spans="1:6" ht="15" customHeight="1">
      <c r="A22" s="484"/>
      <c r="B22" s="485">
        <f t="shared" si="0"/>
        <v>0</v>
      </c>
      <c r="C22" s="485">
        <f t="shared" si="1"/>
        <v>0</v>
      </c>
      <c r="D22" s="485">
        <f t="shared" si="2"/>
        <v>0</v>
      </c>
      <c r="E22" s="485">
        <f t="shared" si="3"/>
        <v>0</v>
      </c>
      <c r="F22" s="485">
        <f t="shared" si="4"/>
        <v>0</v>
      </c>
    </row>
    <row r="23" spans="1:6" ht="15" customHeight="1">
      <c r="A23" s="484"/>
      <c r="B23" s="485">
        <f t="shared" si="0"/>
        <v>0</v>
      </c>
      <c r="C23" s="485">
        <f t="shared" si="1"/>
        <v>0</v>
      </c>
      <c r="D23" s="485">
        <f t="shared" si="2"/>
        <v>0</v>
      </c>
      <c r="E23" s="485">
        <f t="shared" si="3"/>
        <v>0</v>
      </c>
      <c r="F23" s="485">
        <f t="shared" si="4"/>
        <v>0</v>
      </c>
    </row>
    <row r="24" spans="1:6" ht="15" customHeight="1">
      <c r="A24" s="484"/>
      <c r="B24" s="485">
        <f t="shared" si="0"/>
        <v>0</v>
      </c>
      <c r="C24" s="485">
        <f t="shared" si="1"/>
        <v>0</v>
      </c>
      <c r="D24" s="485">
        <f t="shared" si="2"/>
        <v>0</v>
      </c>
      <c r="E24" s="485">
        <f t="shared" si="3"/>
        <v>0</v>
      </c>
      <c r="F24" s="485">
        <f t="shared" si="4"/>
        <v>0</v>
      </c>
    </row>
    <row r="25" spans="1:6" ht="15" customHeight="1">
      <c r="A25" s="484"/>
      <c r="B25" s="485">
        <f t="shared" si="0"/>
        <v>0</v>
      </c>
      <c r="C25" s="485">
        <f t="shared" si="1"/>
        <v>0</v>
      </c>
      <c r="D25" s="485">
        <f t="shared" si="2"/>
        <v>0</v>
      </c>
      <c r="E25" s="485">
        <f t="shared" si="3"/>
        <v>0</v>
      </c>
      <c r="F25" s="485">
        <f t="shared" si="4"/>
        <v>0</v>
      </c>
    </row>
    <row r="26" spans="1:6" ht="15" customHeight="1">
      <c r="A26" s="484"/>
      <c r="B26" s="485">
        <f t="shared" si="0"/>
        <v>0</v>
      </c>
      <c r="C26" s="485">
        <f t="shared" si="1"/>
        <v>0</v>
      </c>
      <c r="D26" s="485">
        <f t="shared" si="2"/>
        <v>0</v>
      </c>
      <c r="E26" s="485">
        <f t="shared" si="3"/>
        <v>0</v>
      </c>
      <c r="F26" s="485">
        <f t="shared" si="4"/>
        <v>0</v>
      </c>
    </row>
    <row r="27" spans="1:6" ht="15" customHeight="1">
      <c r="A27" s="484"/>
      <c r="B27" s="485">
        <f t="shared" si="0"/>
        <v>0</v>
      </c>
      <c r="C27" s="485">
        <f t="shared" si="1"/>
        <v>0</v>
      </c>
      <c r="D27" s="485">
        <f t="shared" si="2"/>
        <v>0</v>
      </c>
      <c r="E27" s="485">
        <f t="shared" si="3"/>
        <v>0</v>
      </c>
      <c r="F27" s="485">
        <f t="shared" si="4"/>
        <v>0</v>
      </c>
    </row>
    <row r="28" spans="1:6" ht="15" customHeight="1">
      <c r="A28" s="484"/>
      <c r="B28" s="485">
        <f t="shared" si="0"/>
        <v>0</v>
      </c>
      <c r="C28" s="485">
        <f t="shared" si="1"/>
        <v>0</v>
      </c>
      <c r="D28" s="485">
        <f t="shared" si="2"/>
        <v>0</v>
      </c>
      <c r="E28" s="485">
        <f t="shared" si="3"/>
        <v>0</v>
      </c>
      <c r="F28" s="485">
        <f t="shared" si="4"/>
        <v>0</v>
      </c>
    </row>
    <row r="29" spans="1:6" ht="15" customHeight="1">
      <c r="A29" s="484"/>
      <c r="B29" s="485">
        <f t="shared" si="0"/>
        <v>0</v>
      </c>
      <c r="C29" s="485">
        <f t="shared" si="1"/>
        <v>0</v>
      </c>
      <c r="D29" s="485">
        <f t="shared" si="2"/>
        <v>0</v>
      </c>
      <c r="E29" s="485">
        <f t="shared" si="3"/>
        <v>0</v>
      </c>
      <c r="F29" s="485">
        <f t="shared" si="4"/>
        <v>0</v>
      </c>
    </row>
    <row r="30" spans="1:6" ht="15" customHeight="1">
      <c r="A30" s="484"/>
      <c r="B30" s="485">
        <f t="shared" si="0"/>
        <v>0</v>
      </c>
      <c r="C30" s="485">
        <f t="shared" si="1"/>
        <v>0</v>
      </c>
      <c r="D30" s="485">
        <f t="shared" si="2"/>
        <v>0</v>
      </c>
      <c r="E30" s="485">
        <f t="shared" si="3"/>
        <v>0</v>
      </c>
      <c r="F30" s="485">
        <f t="shared" si="4"/>
        <v>0</v>
      </c>
    </row>
    <row r="31" spans="1:6" ht="15" customHeight="1">
      <c r="A31" s="484"/>
      <c r="B31" s="485">
        <f t="shared" si="0"/>
        <v>0</v>
      </c>
      <c r="C31" s="485">
        <f t="shared" si="1"/>
        <v>0</v>
      </c>
      <c r="D31" s="485">
        <f t="shared" si="2"/>
        <v>0</v>
      </c>
      <c r="E31" s="485">
        <f t="shared" si="3"/>
        <v>0</v>
      </c>
      <c r="F31" s="485">
        <f t="shared" si="4"/>
        <v>0</v>
      </c>
    </row>
    <row r="32" spans="1:6" ht="15" customHeight="1">
      <c r="A32" s="484"/>
      <c r="B32" s="485">
        <f t="shared" si="0"/>
        <v>0</v>
      </c>
      <c r="C32" s="485">
        <f t="shared" si="1"/>
        <v>0</v>
      </c>
      <c r="D32" s="485">
        <f t="shared" si="2"/>
        <v>0</v>
      </c>
      <c r="E32" s="485">
        <f t="shared" si="3"/>
        <v>0</v>
      </c>
      <c r="F32" s="485">
        <f t="shared" si="4"/>
        <v>0</v>
      </c>
    </row>
    <row r="33" spans="1:6" ht="15" customHeight="1">
      <c r="A33" s="484"/>
      <c r="B33" s="485">
        <f t="shared" si="0"/>
        <v>0</v>
      </c>
      <c r="C33" s="485">
        <f t="shared" si="1"/>
        <v>0</v>
      </c>
      <c r="D33" s="485">
        <f t="shared" si="2"/>
        <v>0</v>
      </c>
      <c r="E33" s="485">
        <f t="shared" si="3"/>
        <v>0</v>
      </c>
      <c r="F33" s="485">
        <f t="shared" si="4"/>
        <v>0</v>
      </c>
    </row>
    <row r="34" spans="1:6" ht="15" customHeight="1">
      <c r="A34" s="484"/>
      <c r="B34" s="485">
        <f t="shared" si="0"/>
        <v>0</v>
      </c>
      <c r="C34" s="485">
        <f t="shared" si="1"/>
        <v>0</v>
      </c>
      <c r="D34" s="485">
        <f t="shared" si="2"/>
        <v>0</v>
      </c>
      <c r="E34" s="485">
        <f t="shared" si="3"/>
        <v>0</v>
      </c>
      <c r="F34" s="485">
        <f t="shared" si="4"/>
        <v>0</v>
      </c>
    </row>
    <row r="35" spans="1:6" ht="15" customHeight="1">
      <c r="A35" s="484"/>
      <c r="B35" s="485">
        <f t="shared" si="0"/>
        <v>0</v>
      </c>
      <c r="C35" s="485">
        <f t="shared" si="1"/>
        <v>0</v>
      </c>
      <c r="D35" s="485">
        <f t="shared" si="2"/>
        <v>0</v>
      </c>
      <c r="E35" s="485">
        <f t="shared" si="3"/>
        <v>0</v>
      </c>
      <c r="F35" s="485">
        <f t="shared" si="4"/>
        <v>0</v>
      </c>
    </row>
    <row r="36" spans="1:6" ht="15" customHeight="1">
      <c r="A36" s="484"/>
      <c r="B36" s="485">
        <f t="shared" si="0"/>
        <v>0</v>
      </c>
      <c r="C36" s="485">
        <f t="shared" si="1"/>
        <v>0</v>
      </c>
      <c r="D36" s="485">
        <f t="shared" si="2"/>
        <v>0</v>
      </c>
      <c r="E36" s="485">
        <f t="shared" si="3"/>
        <v>0</v>
      </c>
      <c r="F36" s="485">
        <f t="shared" si="4"/>
        <v>0</v>
      </c>
    </row>
    <row r="37" spans="1:6" ht="15" customHeight="1">
      <c r="A37" s="484"/>
      <c r="B37" s="485">
        <f t="shared" si="0"/>
        <v>0</v>
      </c>
      <c r="C37" s="485">
        <f t="shared" si="1"/>
        <v>0</v>
      </c>
      <c r="D37" s="485">
        <f t="shared" si="2"/>
        <v>0</v>
      </c>
      <c r="E37" s="485">
        <f t="shared" si="3"/>
        <v>0</v>
      </c>
      <c r="F37" s="485">
        <f t="shared" si="4"/>
        <v>0</v>
      </c>
    </row>
    <row r="38" spans="1:6" ht="15" customHeight="1">
      <c r="A38" s="484"/>
      <c r="B38" s="485">
        <f t="shared" si="0"/>
        <v>0</v>
      </c>
      <c r="C38" s="485">
        <f t="shared" si="1"/>
        <v>0</v>
      </c>
      <c r="D38" s="485">
        <f t="shared" si="2"/>
        <v>0</v>
      </c>
      <c r="E38" s="485">
        <f t="shared" si="3"/>
        <v>0</v>
      </c>
      <c r="F38" s="485">
        <f t="shared" si="4"/>
        <v>0</v>
      </c>
    </row>
    <row r="39" spans="1:6" ht="15" customHeight="1">
      <c r="A39" s="484"/>
      <c r="B39" s="485">
        <f t="shared" si="0"/>
        <v>0</v>
      </c>
      <c r="C39" s="485">
        <f t="shared" si="1"/>
        <v>0</v>
      </c>
      <c r="D39" s="485">
        <f t="shared" si="2"/>
        <v>0</v>
      </c>
      <c r="E39" s="485">
        <f t="shared" si="3"/>
        <v>0</v>
      </c>
      <c r="F39" s="485">
        <f t="shared" si="4"/>
        <v>0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</sheetData>
  <sheetProtection password="D2C3" sheet="1" scenarios="1" formatCells="0" formatColumns="0" formatRows="0"/>
  <mergeCells count="3">
    <mergeCell ref="A1:F1"/>
    <mergeCell ref="G1:L1"/>
    <mergeCell ref="S1:Z1"/>
  </mergeCells>
  <printOptions horizontalCentered="1"/>
  <pageMargins left="0.5" right="0.5" top="0.5" bottom="0.5" header="0.5" footer="0.5"/>
  <pageSetup fitToWidth="2" horizontalDpi="600" verticalDpi="600" orientation="portrait" r:id="rId3"/>
  <headerFooter alignWithMargins="0">
    <oddFooter>&amp;L&amp;10&amp;F, &amp;A&amp;R&amp;10&amp;D, &amp;T</oddFooter>
  </headerFooter>
  <colBreaks count="1" manualBreakCount="1">
    <brk id="6" max="38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N39"/>
  <sheetViews>
    <sheetView zoomScale="75" zoomScaleNormal="75" zoomScaleSheetLayoutView="65" workbookViewId="0" topLeftCell="A1">
      <selection activeCell="A1" sqref="A1:G1"/>
    </sheetView>
  </sheetViews>
  <sheetFormatPr defaultColWidth="9.140625" defaultRowHeight="12.75"/>
  <cols>
    <col min="1" max="14" width="12.57421875" style="360" customWidth="1"/>
    <col min="15" max="16384" width="11.421875" style="360" customWidth="1"/>
  </cols>
  <sheetData>
    <row r="1" spans="1:14" ht="24.75" customHeight="1" thickBot="1" thickTop="1">
      <c r="A1" s="557" t="s">
        <v>554</v>
      </c>
      <c r="B1" s="558"/>
      <c r="C1" s="558"/>
      <c r="D1" s="558"/>
      <c r="E1" s="558"/>
      <c r="F1" s="558"/>
      <c r="G1" s="559"/>
      <c r="H1" s="557" t="s">
        <v>554</v>
      </c>
      <c r="I1" s="558"/>
      <c r="J1" s="558"/>
      <c r="K1" s="558"/>
      <c r="L1" s="558"/>
      <c r="M1" s="558"/>
      <c r="N1" s="559"/>
    </row>
    <row r="2" ht="18" customHeight="1" thickTop="1"/>
    <row r="3" ht="18" customHeight="1"/>
    <row r="4" ht="18" customHeight="1"/>
    <row r="5" ht="18" customHeight="1"/>
    <row r="6" ht="18" customHeight="1"/>
    <row r="7" spans="1:4" ht="18" customHeight="1">
      <c r="A7" s="401"/>
      <c r="B7" s="401"/>
      <c r="C7" s="401"/>
      <c r="D7" s="409"/>
    </row>
    <row r="8" spans="2:6" ht="15" customHeight="1">
      <c r="B8" s="401" t="s">
        <v>13</v>
      </c>
      <c r="D8" s="471" t="s">
        <v>15</v>
      </c>
      <c r="E8" s="365"/>
      <c r="F8" s="472" t="s">
        <v>436</v>
      </c>
    </row>
    <row r="9" spans="2:6" ht="15" customHeight="1">
      <c r="B9" s="401" t="s">
        <v>17</v>
      </c>
      <c r="D9" s="471" t="s">
        <v>18</v>
      </c>
      <c r="E9" s="368"/>
      <c r="F9" s="472" t="s">
        <v>1</v>
      </c>
    </row>
    <row r="10" spans="2:6" ht="15" customHeight="1">
      <c r="B10" s="401" t="s">
        <v>19</v>
      </c>
      <c r="D10" s="471" t="s">
        <v>20</v>
      </c>
      <c r="E10" s="368"/>
      <c r="F10" s="472" t="s">
        <v>1</v>
      </c>
    </row>
    <row r="11" spans="2:6" ht="15" customHeight="1">
      <c r="B11" s="401" t="s">
        <v>446</v>
      </c>
      <c r="D11" s="471" t="s">
        <v>102</v>
      </c>
      <c r="E11" s="483"/>
      <c r="F11" s="472" t="s">
        <v>4</v>
      </c>
    </row>
    <row r="12" spans="2:6" ht="15" customHeight="1">
      <c r="B12" s="401"/>
      <c r="D12" s="471"/>
      <c r="E12" s="482"/>
      <c r="F12" s="472"/>
    </row>
    <row r="13" ht="15" customHeight="1"/>
    <row r="14" ht="15" customHeight="1"/>
    <row r="15" spans="1:8" ht="15" customHeight="1">
      <c r="A15" s="474" t="s">
        <v>462</v>
      </c>
      <c r="B15" s="474" t="s">
        <v>462</v>
      </c>
      <c r="C15" s="474" t="s">
        <v>550</v>
      </c>
      <c r="D15" s="474" t="s">
        <v>472</v>
      </c>
      <c r="E15" s="474" t="s">
        <v>462</v>
      </c>
      <c r="F15" s="474" t="s">
        <v>548</v>
      </c>
      <c r="G15" s="474" t="s">
        <v>538</v>
      </c>
      <c r="H15" s="475"/>
    </row>
    <row r="16" spans="1:8" ht="15" customHeight="1">
      <c r="A16" s="476" t="s">
        <v>475</v>
      </c>
      <c r="B16" s="476" t="s">
        <v>476</v>
      </c>
      <c r="C16" s="476" t="s">
        <v>551</v>
      </c>
      <c r="D16" s="476" t="s">
        <v>475</v>
      </c>
      <c r="E16" s="476" t="s">
        <v>243</v>
      </c>
      <c r="F16" s="476" t="s">
        <v>483</v>
      </c>
      <c r="G16" s="476" t="s">
        <v>552</v>
      </c>
      <c r="H16" s="475"/>
    </row>
    <row r="17" spans="1:8" ht="15" customHeight="1">
      <c r="A17" s="476" t="s">
        <v>486</v>
      </c>
      <c r="B17" s="476" t="s">
        <v>487</v>
      </c>
      <c r="C17" s="476" t="s">
        <v>553</v>
      </c>
      <c r="D17" s="476" t="s">
        <v>495</v>
      </c>
      <c r="E17" s="476" t="s">
        <v>490</v>
      </c>
      <c r="F17" s="476" t="s">
        <v>496</v>
      </c>
      <c r="G17" s="476" t="s">
        <v>543</v>
      </c>
      <c r="H17" s="475"/>
    </row>
    <row r="18" spans="1:8" ht="15" customHeight="1">
      <c r="A18" s="477" t="s">
        <v>2</v>
      </c>
      <c r="B18" s="477" t="s">
        <v>28</v>
      </c>
      <c r="C18" s="477" t="s">
        <v>2</v>
      </c>
      <c r="D18" s="477" t="s">
        <v>2</v>
      </c>
      <c r="E18" s="477" t="s">
        <v>3</v>
      </c>
      <c r="F18" s="477" t="s">
        <v>555</v>
      </c>
      <c r="G18" s="477" t="s">
        <v>0</v>
      </c>
      <c r="H18" s="475"/>
    </row>
    <row r="19" spans="1:8" ht="15">
      <c r="A19" s="484"/>
      <c r="B19" s="485">
        <f aca="true" t="shared" si="0" ref="B19:B39">IF(A19=0,0,IF(A19="",0,0.5*($E$8+($E$9+$E$10)*A19+$E$8)*A19))</f>
        <v>0</v>
      </c>
      <c r="C19" s="485">
        <f aca="true" t="shared" si="1" ref="C19:C39">$E$8+($E$9+$E$10)*A19</f>
        <v>0</v>
      </c>
      <c r="D19" s="394">
        <f aca="true" t="shared" si="2" ref="D19:D39">IF(B19=0,0,(0.33*0.5*$E$9*A19^3+0.33*0.5*$E$10*A19^3+0.5*$E$8*A19^2)/B19)</f>
        <v>0</v>
      </c>
      <c r="E19" s="485">
        <f aca="true" t="shared" si="3" ref="E19:E39">IF(B19=0,0,$E$11/B19)</f>
        <v>0</v>
      </c>
      <c r="F19" s="485">
        <f aca="true" t="shared" si="4" ref="F19:F39">(1.94*$E$11*E19+62.4*D19*B19)/1000</f>
        <v>0</v>
      </c>
      <c r="G19" s="485">
        <f aca="true" t="shared" si="5" ref="G19:G39">IF(B19=0,0,IF(C19=0,0,E19/(32.2*(B19/C19))^0.5))</f>
        <v>0</v>
      </c>
      <c r="H19" s="486"/>
    </row>
    <row r="20" spans="1:8" ht="15">
      <c r="A20" s="484"/>
      <c r="B20" s="485">
        <f t="shared" si="0"/>
        <v>0</v>
      </c>
      <c r="C20" s="485">
        <f t="shared" si="1"/>
        <v>0</v>
      </c>
      <c r="D20" s="394">
        <f t="shared" si="2"/>
        <v>0</v>
      </c>
      <c r="E20" s="485">
        <f t="shared" si="3"/>
        <v>0</v>
      </c>
      <c r="F20" s="485">
        <f t="shared" si="4"/>
        <v>0</v>
      </c>
      <c r="G20" s="485">
        <f t="shared" si="5"/>
        <v>0</v>
      </c>
      <c r="H20" s="486"/>
    </row>
    <row r="21" spans="1:8" ht="15">
      <c r="A21" s="484"/>
      <c r="B21" s="485">
        <f t="shared" si="0"/>
        <v>0</v>
      </c>
      <c r="C21" s="485">
        <f t="shared" si="1"/>
        <v>0</v>
      </c>
      <c r="D21" s="394">
        <f t="shared" si="2"/>
        <v>0</v>
      </c>
      <c r="E21" s="485">
        <f t="shared" si="3"/>
        <v>0</v>
      </c>
      <c r="F21" s="485">
        <f t="shared" si="4"/>
        <v>0</v>
      </c>
      <c r="G21" s="485">
        <f t="shared" si="5"/>
        <v>0</v>
      </c>
      <c r="H21" s="486"/>
    </row>
    <row r="22" spans="1:8" ht="15">
      <c r="A22" s="484"/>
      <c r="B22" s="485">
        <f t="shared" si="0"/>
        <v>0</v>
      </c>
      <c r="C22" s="485">
        <f t="shared" si="1"/>
        <v>0</v>
      </c>
      <c r="D22" s="394">
        <f t="shared" si="2"/>
        <v>0</v>
      </c>
      <c r="E22" s="485">
        <f t="shared" si="3"/>
        <v>0</v>
      </c>
      <c r="F22" s="485">
        <f t="shared" si="4"/>
        <v>0</v>
      </c>
      <c r="G22" s="485">
        <f t="shared" si="5"/>
        <v>0</v>
      </c>
      <c r="H22" s="486"/>
    </row>
    <row r="23" spans="1:8" ht="15">
      <c r="A23" s="484"/>
      <c r="B23" s="485">
        <f t="shared" si="0"/>
        <v>0</v>
      </c>
      <c r="C23" s="485">
        <f t="shared" si="1"/>
        <v>0</v>
      </c>
      <c r="D23" s="394">
        <f t="shared" si="2"/>
        <v>0</v>
      </c>
      <c r="E23" s="485">
        <f t="shared" si="3"/>
        <v>0</v>
      </c>
      <c r="F23" s="485">
        <f t="shared" si="4"/>
        <v>0</v>
      </c>
      <c r="G23" s="485">
        <f t="shared" si="5"/>
        <v>0</v>
      </c>
      <c r="H23" s="486"/>
    </row>
    <row r="24" spans="1:8" ht="15">
      <c r="A24" s="484"/>
      <c r="B24" s="485">
        <f t="shared" si="0"/>
        <v>0</v>
      </c>
      <c r="C24" s="485">
        <f t="shared" si="1"/>
        <v>0</v>
      </c>
      <c r="D24" s="394">
        <f t="shared" si="2"/>
        <v>0</v>
      </c>
      <c r="E24" s="485">
        <f t="shared" si="3"/>
        <v>0</v>
      </c>
      <c r="F24" s="485">
        <f t="shared" si="4"/>
        <v>0</v>
      </c>
      <c r="G24" s="485">
        <f t="shared" si="5"/>
        <v>0</v>
      </c>
      <c r="H24" s="486"/>
    </row>
    <row r="25" spans="1:8" ht="15">
      <c r="A25" s="484"/>
      <c r="B25" s="485">
        <f t="shared" si="0"/>
        <v>0</v>
      </c>
      <c r="C25" s="485">
        <f t="shared" si="1"/>
        <v>0</v>
      </c>
      <c r="D25" s="394">
        <f t="shared" si="2"/>
        <v>0</v>
      </c>
      <c r="E25" s="485">
        <f t="shared" si="3"/>
        <v>0</v>
      </c>
      <c r="F25" s="485">
        <f t="shared" si="4"/>
        <v>0</v>
      </c>
      <c r="G25" s="485">
        <f t="shared" si="5"/>
        <v>0</v>
      </c>
      <c r="H25" s="486"/>
    </row>
    <row r="26" spans="1:7" ht="15">
      <c r="A26" s="484"/>
      <c r="B26" s="485">
        <f t="shared" si="0"/>
        <v>0</v>
      </c>
      <c r="C26" s="485">
        <f t="shared" si="1"/>
        <v>0</v>
      </c>
      <c r="D26" s="394">
        <f t="shared" si="2"/>
        <v>0</v>
      </c>
      <c r="E26" s="485">
        <f t="shared" si="3"/>
        <v>0</v>
      </c>
      <c r="F26" s="485">
        <f t="shared" si="4"/>
        <v>0</v>
      </c>
      <c r="G26" s="485">
        <f t="shared" si="5"/>
        <v>0</v>
      </c>
    </row>
    <row r="27" spans="1:7" ht="15">
      <c r="A27" s="484"/>
      <c r="B27" s="485">
        <f t="shared" si="0"/>
        <v>0</v>
      </c>
      <c r="C27" s="485">
        <f t="shared" si="1"/>
        <v>0</v>
      </c>
      <c r="D27" s="394">
        <f t="shared" si="2"/>
        <v>0</v>
      </c>
      <c r="E27" s="485">
        <f t="shared" si="3"/>
        <v>0</v>
      </c>
      <c r="F27" s="485">
        <f t="shared" si="4"/>
        <v>0</v>
      </c>
      <c r="G27" s="485">
        <f t="shared" si="5"/>
        <v>0</v>
      </c>
    </row>
    <row r="28" spans="1:7" ht="15">
      <c r="A28" s="484"/>
      <c r="B28" s="485">
        <f t="shared" si="0"/>
        <v>0</v>
      </c>
      <c r="C28" s="485">
        <f t="shared" si="1"/>
        <v>0</v>
      </c>
      <c r="D28" s="394">
        <f t="shared" si="2"/>
        <v>0</v>
      </c>
      <c r="E28" s="485">
        <f t="shared" si="3"/>
        <v>0</v>
      </c>
      <c r="F28" s="485">
        <f t="shared" si="4"/>
        <v>0</v>
      </c>
      <c r="G28" s="485">
        <f t="shared" si="5"/>
        <v>0</v>
      </c>
    </row>
    <row r="29" spans="1:7" ht="15">
      <c r="A29" s="484"/>
      <c r="B29" s="485">
        <f t="shared" si="0"/>
        <v>0</v>
      </c>
      <c r="C29" s="485">
        <f t="shared" si="1"/>
        <v>0</v>
      </c>
      <c r="D29" s="394">
        <f t="shared" si="2"/>
        <v>0</v>
      </c>
      <c r="E29" s="485">
        <f t="shared" si="3"/>
        <v>0</v>
      </c>
      <c r="F29" s="485">
        <f t="shared" si="4"/>
        <v>0</v>
      </c>
      <c r="G29" s="485">
        <f t="shared" si="5"/>
        <v>0</v>
      </c>
    </row>
    <row r="30" spans="1:7" ht="15">
      <c r="A30" s="484"/>
      <c r="B30" s="485">
        <f t="shared" si="0"/>
        <v>0</v>
      </c>
      <c r="C30" s="485">
        <f t="shared" si="1"/>
        <v>0</v>
      </c>
      <c r="D30" s="394">
        <f t="shared" si="2"/>
        <v>0</v>
      </c>
      <c r="E30" s="485">
        <f t="shared" si="3"/>
        <v>0</v>
      </c>
      <c r="F30" s="485">
        <f t="shared" si="4"/>
        <v>0</v>
      </c>
      <c r="G30" s="485">
        <f t="shared" si="5"/>
        <v>0</v>
      </c>
    </row>
    <row r="31" spans="1:7" ht="15">
      <c r="A31" s="484"/>
      <c r="B31" s="485">
        <f t="shared" si="0"/>
        <v>0</v>
      </c>
      <c r="C31" s="485">
        <f t="shared" si="1"/>
        <v>0</v>
      </c>
      <c r="D31" s="394">
        <f t="shared" si="2"/>
        <v>0</v>
      </c>
      <c r="E31" s="485">
        <f t="shared" si="3"/>
        <v>0</v>
      </c>
      <c r="F31" s="485">
        <f t="shared" si="4"/>
        <v>0</v>
      </c>
      <c r="G31" s="485">
        <f t="shared" si="5"/>
        <v>0</v>
      </c>
    </row>
    <row r="32" spans="1:7" ht="15">
      <c r="A32" s="484"/>
      <c r="B32" s="485">
        <f t="shared" si="0"/>
        <v>0</v>
      </c>
      <c r="C32" s="485">
        <f t="shared" si="1"/>
        <v>0</v>
      </c>
      <c r="D32" s="394">
        <f t="shared" si="2"/>
        <v>0</v>
      </c>
      <c r="E32" s="485">
        <f t="shared" si="3"/>
        <v>0</v>
      </c>
      <c r="F32" s="485">
        <f t="shared" si="4"/>
        <v>0</v>
      </c>
      <c r="G32" s="485">
        <f t="shared" si="5"/>
        <v>0</v>
      </c>
    </row>
    <row r="33" spans="1:7" ht="15">
      <c r="A33" s="484"/>
      <c r="B33" s="485">
        <f t="shared" si="0"/>
        <v>0</v>
      </c>
      <c r="C33" s="485">
        <f t="shared" si="1"/>
        <v>0</v>
      </c>
      <c r="D33" s="394">
        <f t="shared" si="2"/>
        <v>0</v>
      </c>
      <c r="E33" s="485">
        <f t="shared" si="3"/>
        <v>0</v>
      </c>
      <c r="F33" s="485">
        <f t="shared" si="4"/>
        <v>0</v>
      </c>
      <c r="G33" s="485">
        <f t="shared" si="5"/>
        <v>0</v>
      </c>
    </row>
    <row r="34" spans="1:7" ht="15">
      <c r="A34" s="484"/>
      <c r="B34" s="485">
        <f t="shared" si="0"/>
        <v>0</v>
      </c>
      <c r="C34" s="485">
        <f t="shared" si="1"/>
        <v>0</v>
      </c>
      <c r="D34" s="394">
        <f t="shared" si="2"/>
        <v>0</v>
      </c>
      <c r="E34" s="485">
        <f t="shared" si="3"/>
        <v>0</v>
      </c>
      <c r="F34" s="485">
        <f t="shared" si="4"/>
        <v>0</v>
      </c>
      <c r="G34" s="485">
        <f t="shared" si="5"/>
        <v>0</v>
      </c>
    </row>
    <row r="35" spans="1:7" ht="15">
      <c r="A35" s="484"/>
      <c r="B35" s="485">
        <f t="shared" si="0"/>
        <v>0</v>
      </c>
      <c r="C35" s="485">
        <f t="shared" si="1"/>
        <v>0</v>
      </c>
      <c r="D35" s="394">
        <f t="shared" si="2"/>
        <v>0</v>
      </c>
      <c r="E35" s="485">
        <f t="shared" si="3"/>
        <v>0</v>
      </c>
      <c r="F35" s="485">
        <f t="shared" si="4"/>
        <v>0</v>
      </c>
      <c r="G35" s="485">
        <f t="shared" si="5"/>
        <v>0</v>
      </c>
    </row>
    <row r="36" spans="1:7" ht="15">
      <c r="A36" s="484"/>
      <c r="B36" s="485">
        <f t="shared" si="0"/>
        <v>0</v>
      </c>
      <c r="C36" s="485">
        <f t="shared" si="1"/>
        <v>0</v>
      </c>
      <c r="D36" s="394">
        <f t="shared" si="2"/>
        <v>0</v>
      </c>
      <c r="E36" s="485">
        <f t="shared" si="3"/>
        <v>0</v>
      </c>
      <c r="F36" s="485">
        <f t="shared" si="4"/>
        <v>0</v>
      </c>
      <c r="G36" s="485">
        <f t="shared" si="5"/>
        <v>0</v>
      </c>
    </row>
    <row r="37" spans="1:7" ht="15">
      <c r="A37" s="484"/>
      <c r="B37" s="485">
        <f t="shared" si="0"/>
        <v>0</v>
      </c>
      <c r="C37" s="485">
        <f t="shared" si="1"/>
        <v>0</v>
      </c>
      <c r="D37" s="394">
        <f t="shared" si="2"/>
        <v>0</v>
      </c>
      <c r="E37" s="485">
        <f t="shared" si="3"/>
        <v>0</v>
      </c>
      <c r="F37" s="485">
        <f t="shared" si="4"/>
        <v>0</v>
      </c>
      <c r="G37" s="485">
        <f t="shared" si="5"/>
        <v>0</v>
      </c>
    </row>
    <row r="38" spans="1:7" ht="15">
      <c r="A38" s="484"/>
      <c r="B38" s="485">
        <f t="shared" si="0"/>
        <v>0</v>
      </c>
      <c r="C38" s="485">
        <f t="shared" si="1"/>
        <v>0</v>
      </c>
      <c r="D38" s="394">
        <f t="shared" si="2"/>
        <v>0</v>
      </c>
      <c r="E38" s="485">
        <f t="shared" si="3"/>
        <v>0</v>
      </c>
      <c r="F38" s="485">
        <f t="shared" si="4"/>
        <v>0</v>
      </c>
      <c r="G38" s="485">
        <f t="shared" si="5"/>
        <v>0</v>
      </c>
    </row>
    <row r="39" spans="1:7" ht="15">
      <c r="A39" s="484"/>
      <c r="B39" s="485">
        <f t="shared" si="0"/>
        <v>0</v>
      </c>
      <c r="C39" s="485">
        <f t="shared" si="1"/>
        <v>0</v>
      </c>
      <c r="D39" s="394">
        <f t="shared" si="2"/>
        <v>0</v>
      </c>
      <c r="E39" s="485">
        <f t="shared" si="3"/>
        <v>0</v>
      </c>
      <c r="F39" s="485">
        <f t="shared" si="4"/>
        <v>0</v>
      </c>
      <c r="G39" s="485">
        <f t="shared" si="5"/>
        <v>0</v>
      </c>
    </row>
  </sheetData>
  <sheetProtection password="D2C3" sheet="1" scenarios="1" formatCells="0" formatColumns="0" formatRows="0"/>
  <mergeCells count="2">
    <mergeCell ref="A1:G1"/>
    <mergeCell ref="H1:N1"/>
  </mergeCells>
  <printOptions horizontalCentered="1"/>
  <pageMargins left="0.5" right="0.5" top="0.5" bottom="0.5" header="0.5" footer="0.5"/>
  <pageSetup horizontalDpi="600" verticalDpi="600" orientation="portrait" r:id="rId3"/>
  <headerFooter alignWithMargins="0">
    <oddFooter>&amp;L&amp;10&amp;F, &amp;A&amp;R&amp;10&amp;D, &amp;T</oddFooter>
  </headerFooter>
  <colBreaks count="1" manualBreakCount="1">
    <brk id="7" max="38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V70"/>
  <sheetViews>
    <sheetView zoomScale="75" zoomScaleNormal="75" zoomScaleSheetLayoutView="75" workbookViewId="0" topLeftCell="A1">
      <selection activeCell="A1" sqref="A1:P1"/>
    </sheetView>
  </sheetViews>
  <sheetFormatPr defaultColWidth="9.140625" defaultRowHeight="12.75"/>
  <cols>
    <col min="1" max="48" width="10.00390625" style="360" customWidth="1"/>
    <col min="49" max="16384" width="11.421875" style="360" customWidth="1"/>
  </cols>
  <sheetData>
    <row r="1" spans="1:48" s="358" customFormat="1" ht="30" customHeight="1" thickBot="1" thickTop="1">
      <c r="A1" s="570" t="s">
        <v>433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2"/>
      <c r="Q1" s="570" t="s">
        <v>433</v>
      </c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2"/>
      <c r="AG1" s="567" t="s">
        <v>433</v>
      </c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9"/>
    </row>
    <row r="2" spans="1:48" ht="15" customHeight="1" thickTop="1">
      <c r="A2" s="446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447"/>
      <c r="Q2" s="446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447"/>
      <c r="AG2" s="446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447"/>
    </row>
    <row r="3" spans="1:48" ht="15" customHeight="1">
      <c r="A3" s="446"/>
      <c r="B3" s="361" t="s">
        <v>434</v>
      </c>
      <c r="C3" s="362"/>
      <c r="D3" s="362"/>
      <c r="E3" s="362"/>
      <c r="F3" s="362"/>
      <c r="G3" s="362"/>
      <c r="H3" s="359"/>
      <c r="I3" s="361" t="s">
        <v>435</v>
      </c>
      <c r="J3" s="362"/>
      <c r="K3" s="362"/>
      <c r="L3" s="363"/>
      <c r="M3" s="364"/>
      <c r="N3" s="364"/>
      <c r="O3" s="359"/>
      <c r="P3" s="447"/>
      <c r="Q3" s="446"/>
      <c r="R3" s="361" t="s">
        <v>434</v>
      </c>
      <c r="S3" s="362"/>
      <c r="T3" s="362"/>
      <c r="U3" s="362"/>
      <c r="V3" s="362"/>
      <c r="W3" s="362"/>
      <c r="X3" s="359"/>
      <c r="Y3" s="361" t="s">
        <v>435</v>
      </c>
      <c r="Z3" s="362"/>
      <c r="AA3" s="362"/>
      <c r="AB3" s="363"/>
      <c r="AC3" s="364"/>
      <c r="AD3" s="364"/>
      <c r="AE3" s="359"/>
      <c r="AF3" s="447"/>
      <c r="AG3" s="446"/>
      <c r="AH3" s="361" t="s">
        <v>434</v>
      </c>
      <c r="AI3" s="362"/>
      <c r="AJ3" s="362"/>
      <c r="AK3" s="362"/>
      <c r="AL3" s="362"/>
      <c r="AM3" s="362"/>
      <c r="AN3" s="359"/>
      <c r="AO3" s="361" t="s">
        <v>435</v>
      </c>
      <c r="AP3" s="362"/>
      <c r="AQ3" s="362"/>
      <c r="AR3" s="363"/>
      <c r="AS3" s="364"/>
      <c r="AT3" s="364"/>
      <c r="AU3" s="359"/>
      <c r="AV3" s="447"/>
    </row>
    <row r="4" spans="1:48" ht="15" customHeight="1">
      <c r="A4" s="446"/>
      <c r="B4" s="362"/>
      <c r="C4" s="362" t="s">
        <v>13</v>
      </c>
      <c r="D4" s="362"/>
      <c r="E4" s="363" t="s">
        <v>15</v>
      </c>
      <c r="F4" s="365"/>
      <c r="G4" s="364" t="s">
        <v>436</v>
      </c>
      <c r="H4" s="359"/>
      <c r="I4" s="362"/>
      <c r="J4" s="362" t="s">
        <v>437</v>
      </c>
      <c r="K4" s="362"/>
      <c r="L4" s="363" t="s">
        <v>438</v>
      </c>
      <c r="M4" s="366"/>
      <c r="N4" s="364" t="s">
        <v>436</v>
      </c>
      <c r="O4" s="359"/>
      <c r="P4" s="447"/>
      <c r="Q4" s="446"/>
      <c r="R4" s="362"/>
      <c r="S4" s="362" t="s">
        <v>13</v>
      </c>
      <c r="T4" s="362"/>
      <c r="U4" s="363" t="s">
        <v>15</v>
      </c>
      <c r="V4" s="367">
        <f aca="true" t="shared" si="0" ref="V4:V9">+F4</f>
        <v>0</v>
      </c>
      <c r="W4" s="364" t="s">
        <v>436</v>
      </c>
      <c r="X4" s="359"/>
      <c r="Y4" s="362"/>
      <c r="Z4" s="362" t="s">
        <v>437</v>
      </c>
      <c r="AA4" s="362"/>
      <c r="AB4" s="363" t="s">
        <v>438</v>
      </c>
      <c r="AC4" s="367">
        <f>IF(M4="","",M4)</f>
      </c>
      <c r="AD4" s="364" t="s">
        <v>436</v>
      </c>
      <c r="AE4" s="359"/>
      <c r="AF4" s="447"/>
      <c r="AG4" s="446"/>
      <c r="AH4" s="362"/>
      <c r="AI4" s="362" t="s">
        <v>13</v>
      </c>
      <c r="AJ4" s="362"/>
      <c r="AK4" s="363" t="s">
        <v>15</v>
      </c>
      <c r="AL4" s="367">
        <f aca="true" t="shared" si="1" ref="AL4:AL9">+F4</f>
        <v>0</v>
      </c>
      <c r="AM4" s="364" t="s">
        <v>436</v>
      </c>
      <c r="AN4" s="359"/>
      <c r="AO4" s="362"/>
      <c r="AP4" s="362" t="s">
        <v>437</v>
      </c>
      <c r="AQ4" s="362"/>
      <c r="AR4" s="363" t="s">
        <v>438</v>
      </c>
      <c r="AS4" s="367">
        <f>IF(M4="","",M4)</f>
      </c>
      <c r="AT4" s="364" t="s">
        <v>436</v>
      </c>
      <c r="AU4" s="359"/>
      <c r="AV4" s="447"/>
    </row>
    <row r="5" spans="1:48" ht="15" customHeight="1">
      <c r="A5" s="446"/>
      <c r="B5" s="362"/>
      <c r="C5" s="362" t="s">
        <v>17</v>
      </c>
      <c r="D5" s="362"/>
      <c r="E5" s="363" t="s">
        <v>18</v>
      </c>
      <c r="F5" s="368"/>
      <c r="G5" s="364" t="s">
        <v>1</v>
      </c>
      <c r="H5" s="359"/>
      <c r="I5" s="362"/>
      <c r="J5" s="362" t="s">
        <v>439</v>
      </c>
      <c r="K5" s="362"/>
      <c r="L5" s="363" t="s">
        <v>103</v>
      </c>
      <c r="M5" s="369">
        <f>IF(M4="","",F4+(1+F5^2)^0.5*M4+(1+F6^2)^0.5*M4)</f>
      </c>
      <c r="N5" s="364" t="s">
        <v>1</v>
      </c>
      <c r="O5" s="359" t="s">
        <v>0</v>
      </c>
      <c r="P5" s="447"/>
      <c r="Q5" s="446"/>
      <c r="R5" s="362"/>
      <c r="S5" s="362" t="s">
        <v>17</v>
      </c>
      <c r="T5" s="362"/>
      <c r="U5" s="363" t="s">
        <v>18</v>
      </c>
      <c r="V5" s="369">
        <f t="shared" si="0"/>
        <v>0</v>
      </c>
      <c r="W5" s="364" t="s">
        <v>1</v>
      </c>
      <c r="X5" s="359"/>
      <c r="Y5" s="362"/>
      <c r="Z5" s="362" t="s">
        <v>439</v>
      </c>
      <c r="AA5" s="362"/>
      <c r="AB5" s="363" t="s">
        <v>103</v>
      </c>
      <c r="AC5" s="369">
        <f>+M5</f>
      </c>
      <c r="AD5" s="364" t="s">
        <v>1</v>
      </c>
      <c r="AE5" s="359"/>
      <c r="AF5" s="447"/>
      <c r="AG5" s="446"/>
      <c r="AH5" s="362"/>
      <c r="AI5" s="362" t="s">
        <v>17</v>
      </c>
      <c r="AJ5" s="362"/>
      <c r="AK5" s="363" t="s">
        <v>18</v>
      </c>
      <c r="AL5" s="369">
        <f t="shared" si="1"/>
        <v>0</v>
      </c>
      <c r="AM5" s="364" t="s">
        <v>1</v>
      </c>
      <c r="AN5" s="359"/>
      <c r="AO5" s="362"/>
      <c r="AP5" s="362" t="s">
        <v>439</v>
      </c>
      <c r="AQ5" s="362"/>
      <c r="AR5" s="363" t="s">
        <v>103</v>
      </c>
      <c r="AS5" s="369">
        <f>+M5</f>
      </c>
      <c r="AT5" s="364" t="s">
        <v>1</v>
      </c>
      <c r="AU5" s="359"/>
      <c r="AV5" s="447"/>
    </row>
    <row r="6" spans="1:48" ht="15" customHeight="1">
      <c r="A6" s="446"/>
      <c r="B6" s="362"/>
      <c r="C6" s="362" t="s">
        <v>19</v>
      </c>
      <c r="D6" s="362"/>
      <c r="E6" s="363" t="s">
        <v>20</v>
      </c>
      <c r="F6" s="368"/>
      <c r="G6" s="364" t="s">
        <v>1</v>
      </c>
      <c r="H6" s="359"/>
      <c r="I6" s="362"/>
      <c r="J6" s="362" t="s">
        <v>440</v>
      </c>
      <c r="K6" s="362"/>
      <c r="L6" s="363" t="s">
        <v>441</v>
      </c>
      <c r="M6" s="369">
        <f>IF(M4="","",M4*(F4+(F5+F6)*M4+F4)*0.5)</f>
      </c>
      <c r="N6" s="364" t="s">
        <v>28</v>
      </c>
      <c r="O6" s="359" t="s">
        <v>0</v>
      </c>
      <c r="P6" s="447"/>
      <c r="Q6" s="446"/>
      <c r="R6" s="362"/>
      <c r="S6" s="362" t="s">
        <v>19</v>
      </c>
      <c r="T6" s="362"/>
      <c r="U6" s="363" t="s">
        <v>20</v>
      </c>
      <c r="V6" s="369">
        <f t="shared" si="0"/>
        <v>0</v>
      </c>
      <c r="W6" s="364" t="s">
        <v>1</v>
      </c>
      <c r="X6" s="359"/>
      <c r="Y6" s="362"/>
      <c r="Z6" s="362" t="s">
        <v>440</v>
      </c>
      <c r="AA6" s="362"/>
      <c r="AB6" s="363" t="s">
        <v>441</v>
      </c>
      <c r="AC6" s="369">
        <f>+M6</f>
      </c>
      <c r="AD6" s="364" t="s">
        <v>28</v>
      </c>
      <c r="AE6" s="359"/>
      <c r="AF6" s="447"/>
      <c r="AG6" s="446"/>
      <c r="AH6" s="362"/>
      <c r="AI6" s="362" t="s">
        <v>19</v>
      </c>
      <c r="AJ6" s="362"/>
      <c r="AK6" s="363" t="s">
        <v>20</v>
      </c>
      <c r="AL6" s="369">
        <f t="shared" si="1"/>
        <v>0</v>
      </c>
      <c r="AM6" s="364" t="s">
        <v>1</v>
      </c>
      <c r="AN6" s="359"/>
      <c r="AO6" s="362"/>
      <c r="AP6" s="362" t="s">
        <v>440</v>
      </c>
      <c r="AQ6" s="362"/>
      <c r="AR6" s="363" t="s">
        <v>441</v>
      </c>
      <c r="AS6" s="369">
        <f>+M6</f>
      </c>
      <c r="AT6" s="364" t="s">
        <v>28</v>
      </c>
      <c r="AU6" s="359"/>
      <c r="AV6" s="447"/>
    </row>
    <row r="7" spans="1:48" ht="15" customHeight="1">
      <c r="A7" s="446"/>
      <c r="B7" s="362"/>
      <c r="C7" s="362" t="s">
        <v>442</v>
      </c>
      <c r="D7" s="362"/>
      <c r="E7" s="363" t="s">
        <v>424</v>
      </c>
      <c r="F7" s="370"/>
      <c r="G7" s="364"/>
      <c r="H7" s="359"/>
      <c r="I7" s="362"/>
      <c r="J7" s="362" t="s">
        <v>29</v>
      </c>
      <c r="K7" s="362"/>
      <c r="L7" s="363" t="s">
        <v>113</v>
      </c>
      <c r="M7" s="369">
        <f>IF(M4="","",M6/M5)</f>
      </c>
      <c r="N7" s="364" t="s">
        <v>436</v>
      </c>
      <c r="O7" s="359"/>
      <c r="P7" s="447"/>
      <c r="Q7" s="446"/>
      <c r="R7" s="362"/>
      <c r="S7" s="362" t="s">
        <v>442</v>
      </c>
      <c r="T7" s="362"/>
      <c r="U7" s="363" t="s">
        <v>424</v>
      </c>
      <c r="V7" s="371">
        <f t="shared" si="0"/>
        <v>0</v>
      </c>
      <c r="W7" s="364"/>
      <c r="X7" s="359"/>
      <c r="Y7" s="362"/>
      <c r="Z7" s="362" t="s">
        <v>29</v>
      </c>
      <c r="AA7" s="362"/>
      <c r="AB7" s="363" t="s">
        <v>113</v>
      </c>
      <c r="AC7" s="369">
        <f>+M7</f>
      </c>
      <c r="AD7" s="364" t="s">
        <v>436</v>
      </c>
      <c r="AE7" s="359"/>
      <c r="AF7" s="447"/>
      <c r="AG7" s="446"/>
      <c r="AH7" s="362"/>
      <c r="AI7" s="362" t="s">
        <v>442</v>
      </c>
      <c r="AJ7" s="362"/>
      <c r="AK7" s="363" t="s">
        <v>424</v>
      </c>
      <c r="AL7" s="371">
        <f t="shared" si="1"/>
        <v>0</v>
      </c>
      <c r="AM7" s="364"/>
      <c r="AN7" s="359"/>
      <c r="AO7" s="362"/>
      <c r="AP7" s="362" t="s">
        <v>29</v>
      </c>
      <c r="AQ7" s="362"/>
      <c r="AR7" s="363" t="s">
        <v>113</v>
      </c>
      <c r="AS7" s="369">
        <f>+M7</f>
      </c>
      <c r="AT7" s="364" t="s">
        <v>436</v>
      </c>
      <c r="AU7" s="359"/>
      <c r="AV7" s="447"/>
    </row>
    <row r="8" spans="1:48" ht="15" customHeight="1">
      <c r="A8" s="446"/>
      <c r="B8" s="362"/>
      <c r="C8" s="362" t="s">
        <v>443</v>
      </c>
      <c r="D8" s="362"/>
      <c r="E8" s="363" t="s">
        <v>444</v>
      </c>
      <c r="F8" s="372"/>
      <c r="G8" s="364" t="s">
        <v>1</v>
      </c>
      <c r="H8" s="359"/>
      <c r="I8" s="362"/>
      <c r="J8" s="362" t="s">
        <v>445</v>
      </c>
      <c r="K8" s="362"/>
      <c r="L8" s="363" t="s">
        <v>36</v>
      </c>
      <c r="M8" s="369">
        <f>IF(M4="","",((($F$5+$F$6)*M4+$F$4)*$F$9^2/(32.2*M6^3))^0.5)</f>
      </c>
      <c r="N8" s="364"/>
      <c r="O8" s="359"/>
      <c r="P8" s="447"/>
      <c r="Q8" s="446"/>
      <c r="R8" s="362"/>
      <c r="S8" s="362" t="s">
        <v>443</v>
      </c>
      <c r="T8" s="362"/>
      <c r="U8" s="363" t="s">
        <v>444</v>
      </c>
      <c r="V8" s="371">
        <f t="shared" si="0"/>
        <v>0</v>
      </c>
      <c r="W8" s="364" t="s">
        <v>1</v>
      </c>
      <c r="X8" s="359"/>
      <c r="Y8" s="362"/>
      <c r="Z8" s="362" t="s">
        <v>445</v>
      </c>
      <c r="AA8" s="362"/>
      <c r="AB8" s="363" t="s">
        <v>36</v>
      </c>
      <c r="AC8" s="369">
        <f>+M8</f>
      </c>
      <c r="AD8" s="364"/>
      <c r="AE8" s="359"/>
      <c r="AF8" s="447"/>
      <c r="AG8" s="446"/>
      <c r="AH8" s="362"/>
      <c r="AI8" s="362" t="s">
        <v>443</v>
      </c>
      <c r="AJ8" s="362"/>
      <c r="AK8" s="363" t="s">
        <v>444</v>
      </c>
      <c r="AL8" s="371">
        <f t="shared" si="1"/>
        <v>0</v>
      </c>
      <c r="AM8" s="364" t="s">
        <v>1</v>
      </c>
      <c r="AN8" s="359"/>
      <c r="AO8" s="362"/>
      <c r="AP8" s="362" t="s">
        <v>445</v>
      </c>
      <c r="AQ8" s="362"/>
      <c r="AR8" s="363" t="s">
        <v>36</v>
      </c>
      <c r="AS8" s="369">
        <f>+M8</f>
      </c>
      <c r="AT8" s="364"/>
      <c r="AU8" s="359"/>
      <c r="AV8" s="447"/>
    </row>
    <row r="9" spans="1:48" ht="15" customHeight="1">
      <c r="A9" s="446"/>
      <c r="B9" s="362"/>
      <c r="C9" s="362" t="s">
        <v>446</v>
      </c>
      <c r="D9" s="362"/>
      <c r="E9" s="363" t="s">
        <v>102</v>
      </c>
      <c r="F9" s="373"/>
      <c r="G9" s="364" t="s">
        <v>4</v>
      </c>
      <c r="H9" s="359"/>
      <c r="I9" s="362"/>
      <c r="J9" s="362" t="s">
        <v>447</v>
      </c>
      <c r="K9" s="362"/>
      <c r="L9" s="363" t="s">
        <v>102</v>
      </c>
      <c r="M9" s="369">
        <f>IF(M4="","",1.49/F7*M7^0.667*F8^0.5*M6)</f>
      </c>
      <c r="N9" s="364" t="s">
        <v>1</v>
      </c>
      <c r="O9" s="359"/>
      <c r="P9" s="447"/>
      <c r="Q9" s="446"/>
      <c r="R9" s="362"/>
      <c r="S9" s="362" t="s">
        <v>446</v>
      </c>
      <c r="T9" s="362"/>
      <c r="U9" s="363" t="s">
        <v>102</v>
      </c>
      <c r="V9" s="369">
        <f t="shared" si="0"/>
        <v>0</v>
      </c>
      <c r="W9" s="364" t="s">
        <v>4</v>
      </c>
      <c r="X9" s="359"/>
      <c r="Y9" s="362"/>
      <c r="Z9" s="362" t="s">
        <v>447</v>
      </c>
      <c r="AA9" s="362"/>
      <c r="AB9" s="363" t="s">
        <v>102</v>
      </c>
      <c r="AC9" s="369">
        <f>+M9</f>
      </c>
      <c r="AD9" s="364" t="s">
        <v>1</v>
      </c>
      <c r="AE9" s="359"/>
      <c r="AF9" s="447"/>
      <c r="AG9" s="446"/>
      <c r="AH9" s="362"/>
      <c r="AI9" s="362" t="s">
        <v>446</v>
      </c>
      <c r="AJ9" s="362"/>
      <c r="AK9" s="363" t="s">
        <v>102</v>
      </c>
      <c r="AL9" s="369">
        <f t="shared" si="1"/>
        <v>0</v>
      </c>
      <c r="AM9" s="364" t="s">
        <v>4</v>
      </c>
      <c r="AN9" s="359"/>
      <c r="AO9" s="362"/>
      <c r="AP9" s="362" t="s">
        <v>447</v>
      </c>
      <c r="AQ9" s="362"/>
      <c r="AR9" s="363" t="s">
        <v>102</v>
      </c>
      <c r="AS9" s="369">
        <f>+M9</f>
      </c>
      <c r="AT9" s="364" t="s">
        <v>1</v>
      </c>
      <c r="AU9" s="359"/>
      <c r="AV9" s="447"/>
    </row>
    <row r="10" spans="1:48" ht="15" customHeight="1">
      <c r="A10" s="446"/>
      <c r="B10" s="359"/>
      <c r="C10" s="359"/>
      <c r="D10" s="359"/>
      <c r="E10" s="359"/>
      <c r="F10" s="359"/>
      <c r="G10" s="374"/>
      <c r="H10" s="359"/>
      <c r="I10" s="361" t="s">
        <v>448</v>
      </c>
      <c r="J10" s="362"/>
      <c r="K10" s="362"/>
      <c r="L10" s="375"/>
      <c r="M10" s="362"/>
      <c r="N10" s="364"/>
      <c r="O10" s="359"/>
      <c r="P10" s="447"/>
      <c r="Q10" s="446"/>
      <c r="R10" s="359"/>
      <c r="S10" s="359"/>
      <c r="T10" s="359"/>
      <c r="U10" s="359"/>
      <c r="V10" s="359"/>
      <c r="W10" s="374"/>
      <c r="X10" s="359"/>
      <c r="Y10" s="361" t="s">
        <v>448</v>
      </c>
      <c r="Z10" s="362"/>
      <c r="AA10" s="362"/>
      <c r="AB10" s="375"/>
      <c r="AC10" s="376" t="s">
        <v>0</v>
      </c>
      <c r="AD10" s="364"/>
      <c r="AE10" s="359"/>
      <c r="AF10" s="447"/>
      <c r="AG10" s="446"/>
      <c r="AH10" s="359"/>
      <c r="AI10" s="359"/>
      <c r="AJ10" s="359"/>
      <c r="AK10" s="359"/>
      <c r="AL10" s="359"/>
      <c r="AM10" s="374"/>
      <c r="AN10" s="359"/>
      <c r="AO10" s="361" t="s">
        <v>448</v>
      </c>
      <c r="AP10" s="362"/>
      <c r="AQ10" s="362"/>
      <c r="AR10" s="375"/>
      <c r="AS10" s="376" t="s">
        <v>0</v>
      </c>
      <c r="AT10" s="364"/>
      <c r="AU10" s="359"/>
      <c r="AV10" s="447"/>
    </row>
    <row r="11" spans="1:48" ht="15" customHeight="1">
      <c r="A11" s="446"/>
      <c r="B11" s="359"/>
      <c r="C11" s="359"/>
      <c r="D11" s="359"/>
      <c r="E11" s="359"/>
      <c r="F11" s="359"/>
      <c r="G11" s="377"/>
      <c r="H11" s="377"/>
      <c r="I11" s="361"/>
      <c r="J11" s="362" t="s">
        <v>449</v>
      </c>
      <c r="K11" s="362"/>
      <c r="L11" s="363" t="s">
        <v>314</v>
      </c>
      <c r="M11" s="366"/>
      <c r="N11" s="364" t="s">
        <v>436</v>
      </c>
      <c r="O11" s="359"/>
      <c r="P11" s="447"/>
      <c r="Q11" s="446"/>
      <c r="R11" s="359"/>
      <c r="S11" s="359"/>
      <c r="T11" s="359"/>
      <c r="U11" s="359"/>
      <c r="V11" s="359"/>
      <c r="W11" s="378"/>
      <c r="X11" s="377"/>
      <c r="Y11" s="361"/>
      <c r="Z11" s="362" t="s">
        <v>449</v>
      </c>
      <c r="AA11" s="362"/>
      <c r="AB11" s="363" t="s">
        <v>314</v>
      </c>
      <c r="AC11" s="367">
        <f>IF(M11="","",M11)</f>
      </c>
      <c r="AD11" s="364" t="s">
        <v>436</v>
      </c>
      <c r="AE11" s="359"/>
      <c r="AF11" s="447"/>
      <c r="AG11" s="446"/>
      <c r="AH11" s="359"/>
      <c r="AI11" s="359"/>
      <c r="AJ11" s="359"/>
      <c r="AK11" s="359"/>
      <c r="AL11" s="359"/>
      <c r="AM11" s="378"/>
      <c r="AN11" s="377"/>
      <c r="AO11" s="361"/>
      <c r="AP11" s="362" t="s">
        <v>449</v>
      </c>
      <c r="AQ11" s="362"/>
      <c r="AR11" s="363" t="s">
        <v>314</v>
      </c>
      <c r="AS11" s="367">
        <f>IF(M11="","",M11)</f>
      </c>
      <c r="AT11" s="364" t="s">
        <v>436</v>
      </c>
      <c r="AU11" s="359"/>
      <c r="AV11" s="447"/>
    </row>
    <row r="12" spans="1:48" ht="15" customHeight="1">
      <c r="A12" s="446"/>
      <c r="B12" s="359"/>
      <c r="C12" s="359"/>
      <c r="D12" s="359"/>
      <c r="E12" s="359"/>
      <c r="F12" s="359"/>
      <c r="G12" s="377"/>
      <c r="H12" s="377"/>
      <c r="I12" s="361"/>
      <c r="J12" s="362" t="s">
        <v>38</v>
      </c>
      <c r="K12" s="362"/>
      <c r="L12" s="363" t="s">
        <v>450</v>
      </c>
      <c r="M12" s="379">
        <f>IF(M4="","",F4+(F6+F5)*M11)</f>
      </c>
      <c r="N12" s="364" t="s">
        <v>436</v>
      </c>
      <c r="O12" s="359"/>
      <c r="P12" s="447"/>
      <c r="Q12" s="446"/>
      <c r="R12" s="359"/>
      <c r="S12" s="359"/>
      <c r="T12" s="359"/>
      <c r="U12" s="359"/>
      <c r="V12" s="359"/>
      <c r="W12" s="378"/>
      <c r="X12" s="377"/>
      <c r="Y12" s="361"/>
      <c r="Z12" s="362" t="s">
        <v>38</v>
      </c>
      <c r="AA12" s="362"/>
      <c r="AB12" s="363" t="s">
        <v>450</v>
      </c>
      <c r="AC12" s="369">
        <f>+M12</f>
      </c>
      <c r="AD12" s="364" t="s">
        <v>436</v>
      </c>
      <c r="AE12" s="359"/>
      <c r="AF12" s="447"/>
      <c r="AG12" s="446"/>
      <c r="AH12" s="359"/>
      <c r="AI12" s="359"/>
      <c r="AJ12" s="359"/>
      <c r="AK12" s="359"/>
      <c r="AL12" s="359"/>
      <c r="AM12" s="378"/>
      <c r="AN12" s="377"/>
      <c r="AO12" s="361"/>
      <c r="AP12" s="362" t="s">
        <v>38</v>
      </c>
      <c r="AQ12" s="362"/>
      <c r="AR12" s="363" t="s">
        <v>450</v>
      </c>
      <c r="AS12" s="369">
        <f>+M12</f>
      </c>
      <c r="AT12" s="364" t="s">
        <v>436</v>
      </c>
      <c r="AU12" s="359"/>
      <c r="AV12" s="447"/>
    </row>
    <row r="13" spans="1:48" ht="15" customHeight="1">
      <c r="A13" s="446"/>
      <c r="B13" s="359"/>
      <c r="C13" s="359"/>
      <c r="D13" s="359"/>
      <c r="E13" s="359"/>
      <c r="F13" s="359"/>
      <c r="G13" s="377"/>
      <c r="H13" s="377"/>
      <c r="I13" s="361"/>
      <c r="J13" s="362" t="s">
        <v>40</v>
      </c>
      <c r="K13" s="362"/>
      <c r="L13" s="363" t="s">
        <v>451</v>
      </c>
      <c r="M13" s="369">
        <f>IF(M4="","",M11*(F4+(F5+F6)*M11+F4)/2)</f>
      </c>
      <c r="N13" s="364" t="s">
        <v>28</v>
      </c>
      <c r="O13" s="359"/>
      <c r="P13" s="447"/>
      <c r="Q13" s="446"/>
      <c r="R13" s="359"/>
      <c r="S13" s="359"/>
      <c r="T13" s="359"/>
      <c r="U13" s="359"/>
      <c r="V13" s="359"/>
      <c r="W13" s="378"/>
      <c r="X13" s="377"/>
      <c r="Y13" s="361"/>
      <c r="Z13" s="362" t="s">
        <v>40</v>
      </c>
      <c r="AA13" s="362"/>
      <c r="AB13" s="363" t="s">
        <v>451</v>
      </c>
      <c r="AC13" s="369">
        <f>+M13</f>
      </c>
      <c r="AD13" s="364" t="s">
        <v>28</v>
      </c>
      <c r="AE13" s="359"/>
      <c r="AF13" s="447"/>
      <c r="AG13" s="446"/>
      <c r="AH13" s="359"/>
      <c r="AI13" s="359"/>
      <c r="AJ13" s="359"/>
      <c r="AK13" s="359"/>
      <c r="AL13" s="359"/>
      <c r="AM13" s="378"/>
      <c r="AN13" s="377"/>
      <c r="AO13" s="361"/>
      <c r="AP13" s="362" t="s">
        <v>40</v>
      </c>
      <c r="AQ13" s="362"/>
      <c r="AR13" s="363" t="s">
        <v>451</v>
      </c>
      <c r="AS13" s="369">
        <f>+M13</f>
      </c>
      <c r="AT13" s="364" t="s">
        <v>28</v>
      </c>
      <c r="AU13" s="359"/>
      <c r="AV13" s="447"/>
    </row>
    <row r="14" spans="1:48" ht="15" customHeight="1">
      <c r="A14" s="446"/>
      <c r="B14" s="359"/>
      <c r="C14" s="359"/>
      <c r="D14" s="359"/>
      <c r="E14" s="359"/>
      <c r="F14" s="359"/>
      <c r="G14" s="377"/>
      <c r="H14" s="377"/>
      <c r="I14" s="361"/>
      <c r="J14" s="362" t="s">
        <v>445</v>
      </c>
      <c r="K14" s="362"/>
      <c r="L14" s="363" t="s">
        <v>36</v>
      </c>
      <c r="M14" s="369">
        <f>IF(M4="","",((F9^2*M12)/(32.2*M13^3))^0.5)</f>
      </c>
      <c r="N14" s="364"/>
      <c r="O14" s="359"/>
      <c r="P14" s="447"/>
      <c r="Q14" s="446"/>
      <c r="R14" s="359"/>
      <c r="S14" s="359"/>
      <c r="T14" s="359"/>
      <c r="U14" s="359"/>
      <c r="V14" s="359"/>
      <c r="W14" s="378"/>
      <c r="X14" s="377"/>
      <c r="Y14" s="361"/>
      <c r="Z14" s="362" t="s">
        <v>445</v>
      </c>
      <c r="AA14" s="362"/>
      <c r="AB14" s="363" t="s">
        <v>36</v>
      </c>
      <c r="AC14" s="369">
        <f>+M14</f>
      </c>
      <c r="AD14" s="364"/>
      <c r="AE14" s="359"/>
      <c r="AF14" s="447"/>
      <c r="AG14" s="446"/>
      <c r="AH14" s="359"/>
      <c r="AI14" s="359"/>
      <c r="AJ14" s="359"/>
      <c r="AK14" s="359"/>
      <c r="AL14" s="359"/>
      <c r="AM14" s="378"/>
      <c r="AN14" s="377"/>
      <c r="AO14" s="361"/>
      <c r="AP14" s="362" t="s">
        <v>445</v>
      </c>
      <c r="AQ14" s="362"/>
      <c r="AR14" s="363" t="s">
        <v>36</v>
      </c>
      <c r="AS14" s="369">
        <f>+M14</f>
      </c>
      <c r="AT14" s="364"/>
      <c r="AU14" s="359"/>
      <c r="AV14" s="447"/>
    </row>
    <row r="15" spans="1:48" ht="15" customHeight="1">
      <c r="A15" s="446"/>
      <c r="B15" s="359"/>
      <c r="C15" s="359"/>
      <c r="D15" s="359"/>
      <c r="E15" s="359"/>
      <c r="F15" s="359"/>
      <c r="G15" s="377"/>
      <c r="H15" s="377"/>
      <c r="I15" s="377"/>
      <c r="J15" s="380"/>
      <c r="K15" s="359"/>
      <c r="L15" s="359"/>
      <c r="M15" s="359"/>
      <c r="N15" s="359"/>
      <c r="O15" s="359"/>
      <c r="P15" s="447"/>
      <c r="Q15" s="446"/>
      <c r="R15" s="359"/>
      <c r="S15" s="359"/>
      <c r="T15" s="359"/>
      <c r="U15" s="359"/>
      <c r="V15" s="359"/>
      <c r="W15" s="378"/>
      <c r="X15" s="377"/>
      <c r="Y15" s="377"/>
      <c r="Z15" s="380"/>
      <c r="AA15" s="359"/>
      <c r="AB15" s="359"/>
      <c r="AC15" s="359"/>
      <c r="AD15" s="359"/>
      <c r="AE15" s="359"/>
      <c r="AF15" s="447"/>
      <c r="AG15" s="446"/>
      <c r="AH15" s="359"/>
      <c r="AI15" s="359"/>
      <c r="AJ15" s="359"/>
      <c r="AK15" s="359"/>
      <c r="AL15" s="359"/>
      <c r="AM15" s="378"/>
      <c r="AN15" s="377"/>
      <c r="AO15" s="377"/>
      <c r="AP15" s="380"/>
      <c r="AQ15" s="359"/>
      <c r="AR15" s="359"/>
      <c r="AS15" s="359"/>
      <c r="AT15" s="359"/>
      <c r="AU15" s="359"/>
      <c r="AV15" s="447"/>
    </row>
    <row r="16" spans="1:48" ht="24.75" customHeight="1">
      <c r="A16" s="573" t="s">
        <v>452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5"/>
      <c r="Q16" s="573" t="s">
        <v>453</v>
      </c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5"/>
      <c r="AG16" s="564" t="s">
        <v>454</v>
      </c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6"/>
    </row>
    <row r="17" spans="1:48" ht="15" customHeight="1">
      <c r="A17" s="448"/>
      <c r="B17" s="381"/>
      <c r="C17" s="362"/>
      <c r="D17" s="362"/>
      <c r="E17" s="359"/>
      <c r="F17" s="359"/>
      <c r="G17" s="359"/>
      <c r="H17" s="382"/>
      <c r="I17" s="382"/>
      <c r="J17" s="382"/>
      <c r="K17" s="382"/>
      <c r="L17" s="359"/>
      <c r="M17" s="359"/>
      <c r="N17" s="359"/>
      <c r="O17" s="359"/>
      <c r="P17" s="447"/>
      <c r="Q17" s="448"/>
      <c r="R17" s="381"/>
      <c r="S17" s="383"/>
      <c r="T17" s="362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447"/>
      <c r="AG17" s="448"/>
      <c r="AH17" s="381"/>
      <c r="AI17" s="383"/>
      <c r="AJ17" s="362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447"/>
    </row>
    <row r="18" spans="1:48" ht="15" customHeight="1">
      <c r="A18" s="449" t="s">
        <v>455</v>
      </c>
      <c r="B18" s="362"/>
      <c r="C18" s="362"/>
      <c r="D18" s="362"/>
      <c r="E18" s="362"/>
      <c r="F18" s="362"/>
      <c r="G18" s="381"/>
      <c r="H18" s="382"/>
      <c r="I18" s="382"/>
      <c r="J18" s="382"/>
      <c r="K18" s="382"/>
      <c r="L18" s="359"/>
      <c r="M18" s="359"/>
      <c r="N18" s="359"/>
      <c r="O18" s="359"/>
      <c r="P18" s="447"/>
      <c r="Q18" s="449" t="s">
        <v>455</v>
      </c>
      <c r="R18" s="362"/>
      <c r="S18" s="362" t="s">
        <v>0</v>
      </c>
      <c r="T18" s="362"/>
      <c r="U18" s="362"/>
      <c r="V18" s="362"/>
      <c r="W18" s="384"/>
      <c r="X18" s="359"/>
      <c r="Y18" s="359"/>
      <c r="Z18" s="359"/>
      <c r="AA18" s="359"/>
      <c r="AB18" s="359"/>
      <c r="AC18" s="359"/>
      <c r="AD18" s="359"/>
      <c r="AE18" s="359"/>
      <c r="AF18" s="447"/>
      <c r="AG18" s="449" t="s">
        <v>455</v>
      </c>
      <c r="AH18" s="362"/>
      <c r="AI18" s="362" t="s">
        <v>0</v>
      </c>
      <c r="AJ18" s="362"/>
      <c r="AK18" s="362"/>
      <c r="AL18" s="362"/>
      <c r="AM18" s="381"/>
      <c r="AN18" s="359"/>
      <c r="AO18" s="359"/>
      <c r="AP18" s="359"/>
      <c r="AQ18" s="359"/>
      <c r="AR18" s="359"/>
      <c r="AS18" s="359"/>
      <c r="AT18" s="359"/>
      <c r="AU18" s="359"/>
      <c r="AV18" s="447"/>
    </row>
    <row r="19" spans="1:48" ht="15" customHeight="1">
      <c r="A19" s="449"/>
      <c r="B19" s="359"/>
      <c r="C19" s="362"/>
      <c r="D19" s="359"/>
      <c r="E19" s="363" t="s">
        <v>456</v>
      </c>
      <c r="F19" s="365"/>
      <c r="G19" s="385" t="s">
        <v>436</v>
      </c>
      <c r="H19" s="359"/>
      <c r="I19" s="359"/>
      <c r="J19" s="359"/>
      <c r="K19" s="359"/>
      <c r="L19" s="359"/>
      <c r="M19" s="359"/>
      <c r="N19" s="359"/>
      <c r="O19" s="359"/>
      <c r="P19" s="447"/>
      <c r="Q19" s="449"/>
      <c r="R19" s="362"/>
      <c r="S19" s="362"/>
      <c r="T19" s="359"/>
      <c r="U19" s="363" t="s">
        <v>457</v>
      </c>
      <c r="V19" s="367">
        <f>IF(M11="","",M11)</f>
      </c>
      <c r="W19" s="385" t="s">
        <v>436</v>
      </c>
      <c r="X19" s="359"/>
      <c r="Y19" s="359"/>
      <c r="Z19" s="359"/>
      <c r="AA19" s="359"/>
      <c r="AB19" s="359"/>
      <c r="AC19" s="359"/>
      <c r="AD19" s="359"/>
      <c r="AE19" s="359"/>
      <c r="AF19" s="447"/>
      <c r="AG19" s="449" t="s">
        <v>0</v>
      </c>
      <c r="AH19" s="359"/>
      <c r="AI19" s="359"/>
      <c r="AJ19" s="362"/>
      <c r="AK19" s="363" t="s">
        <v>458</v>
      </c>
      <c r="AL19" s="367">
        <f>IF(M11="","",M11)</f>
      </c>
      <c r="AM19" s="364" t="s">
        <v>436</v>
      </c>
      <c r="AN19" s="359"/>
      <c r="AO19" s="359"/>
      <c r="AP19" s="359"/>
      <c r="AQ19" s="359"/>
      <c r="AR19" s="359"/>
      <c r="AS19" s="359"/>
      <c r="AT19" s="359"/>
      <c r="AU19" s="359"/>
      <c r="AV19" s="447"/>
    </row>
    <row r="20" spans="1:48" ht="15" customHeight="1">
      <c r="A20" s="449"/>
      <c r="B20" s="359"/>
      <c r="C20" s="362"/>
      <c r="D20" s="359"/>
      <c r="E20" s="363" t="s">
        <v>459</v>
      </c>
      <c r="F20" s="365"/>
      <c r="G20" s="385" t="s">
        <v>436</v>
      </c>
      <c r="H20" s="359"/>
      <c r="I20" s="359"/>
      <c r="J20" s="359"/>
      <c r="K20" s="359"/>
      <c r="L20" s="359"/>
      <c r="M20" s="359"/>
      <c r="N20" s="359"/>
      <c r="O20" s="359"/>
      <c r="P20" s="447"/>
      <c r="Q20" s="448"/>
      <c r="R20" s="362"/>
      <c r="S20" s="362"/>
      <c r="T20" s="359"/>
      <c r="U20" s="363" t="s">
        <v>460</v>
      </c>
      <c r="V20" s="365">
        <v>100</v>
      </c>
      <c r="W20" s="385" t="s">
        <v>436</v>
      </c>
      <c r="X20" s="359"/>
      <c r="Y20" s="359"/>
      <c r="Z20" s="359"/>
      <c r="AA20" s="359"/>
      <c r="AB20" s="359"/>
      <c r="AC20" s="359"/>
      <c r="AD20" s="359"/>
      <c r="AE20" s="359"/>
      <c r="AF20" s="447"/>
      <c r="AG20" s="448"/>
      <c r="AH20" s="359"/>
      <c r="AI20" s="359"/>
      <c r="AJ20" s="362"/>
      <c r="AK20" s="363" t="s">
        <v>461</v>
      </c>
      <c r="AL20" s="368">
        <v>100</v>
      </c>
      <c r="AM20" s="364" t="s">
        <v>436</v>
      </c>
      <c r="AN20" s="359"/>
      <c r="AO20" s="359"/>
      <c r="AP20" s="359"/>
      <c r="AQ20" s="359"/>
      <c r="AR20" s="359"/>
      <c r="AS20" s="359"/>
      <c r="AT20" s="359"/>
      <c r="AU20" s="359"/>
      <c r="AV20" s="447"/>
    </row>
    <row r="21" spans="1:48" ht="15" customHeight="1">
      <c r="A21" s="449"/>
      <c r="B21" s="359"/>
      <c r="C21" s="384"/>
      <c r="D21" s="384"/>
      <c r="E21" s="384"/>
      <c r="F21" s="384"/>
      <c r="G21" s="384"/>
      <c r="H21" s="359"/>
      <c r="I21" s="359"/>
      <c r="J21" s="359"/>
      <c r="K21" s="359"/>
      <c r="L21" s="359"/>
      <c r="M21" s="359"/>
      <c r="N21" s="359"/>
      <c r="O21" s="359"/>
      <c r="P21" s="447"/>
      <c r="Q21" s="446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447"/>
      <c r="AG21" s="448"/>
      <c r="AH21" s="359"/>
      <c r="AI21" s="359"/>
      <c r="AJ21" s="362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447"/>
    </row>
    <row r="22" spans="1:48" ht="15" customHeight="1">
      <c r="A22" s="449"/>
      <c r="B22" s="362"/>
      <c r="C22" s="362"/>
      <c r="D22" s="362"/>
      <c r="E22" s="359"/>
      <c r="F22" s="359"/>
      <c r="G22" s="384"/>
      <c r="H22" s="359"/>
      <c r="I22" s="359"/>
      <c r="J22" s="359"/>
      <c r="K22" s="359"/>
      <c r="L22" s="359"/>
      <c r="M22" s="359"/>
      <c r="N22" s="359"/>
      <c r="O22" s="359"/>
      <c r="P22" s="447"/>
      <c r="Q22" s="448"/>
      <c r="R22" s="362"/>
      <c r="S22" s="362"/>
      <c r="T22" s="359"/>
      <c r="U22" s="362"/>
      <c r="V22" s="362"/>
      <c r="W22" s="381"/>
      <c r="X22" s="359"/>
      <c r="Y22" s="359"/>
      <c r="Z22" s="359"/>
      <c r="AA22" s="359"/>
      <c r="AB22" s="359"/>
      <c r="AC22" s="359"/>
      <c r="AD22" s="359"/>
      <c r="AE22" s="359"/>
      <c r="AF22" s="447"/>
      <c r="AG22" s="446"/>
      <c r="AH22" s="359"/>
      <c r="AI22" s="359"/>
      <c r="AJ22" s="359"/>
      <c r="AK22" s="359"/>
      <c r="AL22" s="359"/>
      <c r="AM22" s="384"/>
      <c r="AN22" s="359"/>
      <c r="AO22" s="359"/>
      <c r="AP22" s="359"/>
      <c r="AQ22" s="359"/>
      <c r="AR22" s="359"/>
      <c r="AS22" s="359"/>
      <c r="AT22" s="359"/>
      <c r="AU22" s="359"/>
      <c r="AV22" s="447"/>
    </row>
    <row r="23" spans="1:48" ht="15" customHeight="1">
      <c r="A23" s="448"/>
      <c r="B23" s="361"/>
      <c r="C23" s="362"/>
      <c r="D23" s="362"/>
      <c r="E23" s="359"/>
      <c r="F23" s="359"/>
      <c r="G23" s="384"/>
      <c r="H23" s="359"/>
      <c r="I23" s="359"/>
      <c r="J23" s="359"/>
      <c r="K23" s="359"/>
      <c r="L23" s="359"/>
      <c r="M23" s="359"/>
      <c r="N23" s="359"/>
      <c r="O23" s="359"/>
      <c r="P23" s="447"/>
      <c r="Q23" s="448"/>
      <c r="R23" s="359"/>
      <c r="S23" s="362"/>
      <c r="T23" s="362"/>
      <c r="U23" s="359"/>
      <c r="V23" s="359"/>
      <c r="W23" s="384"/>
      <c r="X23" s="359"/>
      <c r="Y23" s="359"/>
      <c r="Z23" s="359"/>
      <c r="AA23" s="359"/>
      <c r="AB23" s="359"/>
      <c r="AC23" s="359"/>
      <c r="AD23" s="359"/>
      <c r="AE23" s="359"/>
      <c r="AF23" s="447"/>
      <c r="AG23" s="448"/>
      <c r="AH23" s="359"/>
      <c r="AI23" s="362"/>
      <c r="AJ23" s="362"/>
      <c r="AK23" s="359"/>
      <c r="AL23" s="359"/>
      <c r="AM23" s="384"/>
      <c r="AN23" s="359"/>
      <c r="AO23" s="359"/>
      <c r="AP23" s="359"/>
      <c r="AQ23" s="359"/>
      <c r="AR23" s="359"/>
      <c r="AS23" s="359"/>
      <c r="AT23" s="359"/>
      <c r="AU23" s="359"/>
      <c r="AV23" s="447"/>
    </row>
    <row r="24" spans="1:48" ht="15" customHeight="1">
      <c r="A24" s="450">
        <v>1</v>
      </c>
      <c r="B24" s="387">
        <v>2</v>
      </c>
      <c r="C24" s="387">
        <v>3</v>
      </c>
      <c r="D24" s="387">
        <v>4</v>
      </c>
      <c r="E24" s="387">
        <v>5</v>
      </c>
      <c r="F24" s="387">
        <v>6</v>
      </c>
      <c r="G24" s="387">
        <v>7</v>
      </c>
      <c r="H24" s="387">
        <v>8</v>
      </c>
      <c r="I24" s="387">
        <v>9</v>
      </c>
      <c r="J24" s="387">
        <v>10</v>
      </c>
      <c r="K24" s="387">
        <v>11</v>
      </c>
      <c r="L24" s="387">
        <v>12</v>
      </c>
      <c r="M24" s="387">
        <v>13</v>
      </c>
      <c r="N24" s="387">
        <v>14</v>
      </c>
      <c r="O24" s="387">
        <v>15</v>
      </c>
      <c r="P24" s="451">
        <v>16</v>
      </c>
      <c r="Q24" s="450">
        <v>1</v>
      </c>
      <c r="R24" s="387">
        <v>2</v>
      </c>
      <c r="S24" s="387">
        <v>3</v>
      </c>
      <c r="T24" s="387">
        <v>4</v>
      </c>
      <c r="U24" s="387">
        <v>5</v>
      </c>
      <c r="V24" s="387">
        <v>6</v>
      </c>
      <c r="W24" s="387">
        <v>7</v>
      </c>
      <c r="X24" s="387">
        <v>8</v>
      </c>
      <c r="Y24" s="387">
        <v>9</v>
      </c>
      <c r="Z24" s="387">
        <v>10</v>
      </c>
      <c r="AA24" s="387">
        <v>11</v>
      </c>
      <c r="AB24" s="387">
        <v>12</v>
      </c>
      <c r="AC24" s="387">
        <v>13</v>
      </c>
      <c r="AD24" s="387">
        <v>14</v>
      </c>
      <c r="AE24" s="387">
        <v>15</v>
      </c>
      <c r="AF24" s="451">
        <v>16</v>
      </c>
      <c r="AG24" s="450">
        <v>1</v>
      </c>
      <c r="AH24" s="387">
        <v>2</v>
      </c>
      <c r="AI24" s="387">
        <v>3</v>
      </c>
      <c r="AJ24" s="387">
        <v>4</v>
      </c>
      <c r="AK24" s="387">
        <v>5</v>
      </c>
      <c r="AL24" s="387">
        <v>6</v>
      </c>
      <c r="AM24" s="387">
        <v>7</v>
      </c>
      <c r="AN24" s="387">
        <v>8</v>
      </c>
      <c r="AO24" s="387">
        <v>9</v>
      </c>
      <c r="AP24" s="387">
        <v>10</v>
      </c>
      <c r="AQ24" s="387">
        <v>11</v>
      </c>
      <c r="AR24" s="387">
        <v>12</v>
      </c>
      <c r="AS24" s="387">
        <v>13</v>
      </c>
      <c r="AT24" s="387">
        <v>14</v>
      </c>
      <c r="AU24" s="387">
        <v>15</v>
      </c>
      <c r="AV24" s="451">
        <v>16</v>
      </c>
    </row>
    <row r="25" spans="1:48" ht="15" customHeight="1">
      <c r="A25" s="452" t="s">
        <v>462</v>
      </c>
      <c r="B25" s="389" t="s">
        <v>462</v>
      </c>
      <c r="C25" s="389" t="s">
        <v>463</v>
      </c>
      <c r="D25" s="389" t="s">
        <v>464</v>
      </c>
      <c r="E25" s="389" t="s">
        <v>462</v>
      </c>
      <c r="F25" s="389" t="s">
        <v>465</v>
      </c>
      <c r="G25" s="389" t="s">
        <v>466</v>
      </c>
      <c r="H25" s="389" t="s">
        <v>467</v>
      </c>
      <c r="I25" s="389" t="s">
        <v>468</v>
      </c>
      <c r="J25" s="389" t="s">
        <v>469</v>
      </c>
      <c r="K25" s="389" t="s">
        <v>470</v>
      </c>
      <c r="L25" s="389" t="s">
        <v>471</v>
      </c>
      <c r="M25" s="389" t="s">
        <v>472</v>
      </c>
      <c r="N25" s="389" t="s">
        <v>466</v>
      </c>
      <c r="O25" s="389" t="s">
        <v>473</v>
      </c>
      <c r="P25" s="453" t="s">
        <v>474</v>
      </c>
      <c r="Q25" s="452" t="s">
        <v>462</v>
      </c>
      <c r="R25" s="389" t="s">
        <v>462</v>
      </c>
      <c r="S25" s="389" t="s">
        <v>463</v>
      </c>
      <c r="T25" s="389" t="s">
        <v>464</v>
      </c>
      <c r="U25" s="389" t="s">
        <v>462</v>
      </c>
      <c r="V25" s="389" t="s">
        <v>465</v>
      </c>
      <c r="W25" s="389" t="s">
        <v>466</v>
      </c>
      <c r="X25" s="389" t="s">
        <v>467</v>
      </c>
      <c r="Y25" s="389" t="s">
        <v>468</v>
      </c>
      <c r="Z25" s="389" t="s">
        <v>469</v>
      </c>
      <c r="AA25" s="389" t="s">
        <v>470</v>
      </c>
      <c r="AB25" s="389" t="s">
        <v>471</v>
      </c>
      <c r="AC25" s="389" t="s">
        <v>472</v>
      </c>
      <c r="AD25" s="389" t="s">
        <v>466</v>
      </c>
      <c r="AE25" s="389" t="s">
        <v>473</v>
      </c>
      <c r="AF25" s="453" t="s">
        <v>474</v>
      </c>
      <c r="AG25" s="452" t="s">
        <v>462</v>
      </c>
      <c r="AH25" s="389" t="s">
        <v>462</v>
      </c>
      <c r="AI25" s="389" t="s">
        <v>463</v>
      </c>
      <c r="AJ25" s="389" t="s">
        <v>464</v>
      </c>
      <c r="AK25" s="389" t="s">
        <v>462</v>
      </c>
      <c r="AL25" s="389" t="s">
        <v>465</v>
      </c>
      <c r="AM25" s="389" t="s">
        <v>466</v>
      </c>
      <c r="AN25" s="389" t="s">
        <v>467</v>
      </c>
      <c r="AO25" s="389" t="s">
        <v>468</v>
      </c>
      <c r="AP25" s="389" t="s">
        <v>469</v>
      </c>
      <c r="AQ25" s="389" t="s">
        <v>470</v>
      </c>
      <c r="AR25" s="389" t="s">
        <v>471</v>
      </c>
      <c r="AS25" s="389" t="s">
        <v>472</v>
      </c>
      <c r="AT25" s="389" t="s">
        <v>466</v>
      </c>
      <c r="AU25" s="389" t="s">
        <v>473</v>
      </c>
      <c r="AV25" s="453" t="s">
        <v>474</v>
      </c>
    </row>
    <row r="26" spans="1:48" ht="15" customHeight="1">
      <c r="A26" s="452" t="s">
        <v>475</v>
      </c>
      <c r="B26" s="389" t="s">
        <v>476</v>
      </c>
      <c r="C26" s="389" t="s">
        <v>477</v>
      </c>
      <c r="D26" s="389" t="s">
        <v>478</v>
      </c>
      <c r="E26" s="389" t="s">
        <v>479</v>
      </c>
      <c r="F26" s="389" t="s">
        <v>480</v>
      </c>
      <c r="G26" s="389" t="s">
        <v>481</v>
      </c>
      <c r="H26" s="389"/>
      <c r="I26" s="389" t="s">
        <v>482</v>
      </c>
      <c r="J26" s="389" t="s">
        <v>482</v>
      </c>
      <c r="K26" s="389"/>
      <c r="L26" s="389"/>
      <c r="M26" s="389" t="s">
        <v>475</v>
      </c>
      <c r="N26" s="389" t="s">
        <v>483</v>
      </c>
      <c r="O26" s="389" t="s">
        <v>484</v>
      </c>
      <c r="P26" s="453" t="s">
        <v>485</v>
      </c>
      <c r="Q26" s="452" t="s">
        <v>475</v>
      </c>
      <c r="R26" s="389" t="s">
        <v>476</v>
      </c>
      <c r="S26" s="389" t="s">
        <v>477</v>
      </c>
      <c r="T26" s="389" t="s">
        <v>478</v>
      </c>
      <c r="U26" s="389" t="s">
        <v>479</v>
      </c>
      <c r="V26" s="389" t="s">
        <v>480</v>
      </c>
      <c r="W26" s="389" t="s">
        <v>481</v>
      </c>
      <c r="X26" s="389"/>
      <c r="Y26" s="389" t="s">
        <v>482</v>
      </c>
      <c r="Z26" s="389" t="s">
        <v>482</v>
      </c>
      <c r="AA26" s="389"/>
      <c r="AB26" s="389"/>
      <c r="AC26" s="389" t="s">
        <v>475</v>
      </c>
      <c r="AD26" s="389" t="s">
        <v>483</v>
      </c>
      <c r="AE26" s="389" t="s">
        <v>484</v>
      </c>
      <c r="AF26" s="453" t="s">
        <v>485</v>
      </c>
      <c r="AG26" s="452" t="s">
        <v>475</v>
      </c>
      <c r="AH26" s="389" t="s">
        <v>476</v>
      </c>
      <c r="AI26" s="389" t="s">
        <v>477</v>
      </c>
      <c r="AJ26" s="389" t="s">
        <v>478</v>
      </c>
      <c r="AK26" s="389" t="s">
        <v>479</v>
      </c>
      <c r="AL26" s="389" t="s">
        <v>480</v>
      </c>
      <c r="AM26" s="389" t="s">
        <v>481</v>
      </c>
      <c r="AN26" s="389"/>
      <c r="AO26" s="389" t="s">
        <v>482</v>
      </c>
      <c r="AP26" s="389" t="s">
        <v>482</v>
      </c>
      <c r="AQ26" s="389"/>
      <c r="AR26" s="389"/>
      <c r="AS26" s="389" t="s">
        <v>475</v>
      </c>
      <c r="AT26" s="389" t="s">
        <v>483</v>
      </c>
      <c r="AU26" s="389" t="s">
        <v>484</v>
      </c>
      <c r="AV26" s="453" t="s">
        <v>485</v>
      </c>
    </row>
    <row r="27" spans="1:48" ht="15" customHeight="1">
      <c r="A27" s="452" t="s">
        <v>486</v>
      </c>
      <c r="B27" s="389" t="s">
        <v>487</v>
      </c>
      <c r="C27" s="389" t="s">
        <v>488</v>
      </c>
      <c r="D27" s="389" t="s">
        <v>489</v>
      </c>
      <c r="E27" s="389" t="s">
        <v>490</v>
      </c>
      <c r="F27" s="389" t="s">
        <v>491</v>
      </c>
      <c r="G27" s="389" t="s">
        <v>492</v>
      </c>
      <c r="H27" s="389" t="s">
        <v>0</v>
      </c>
      <c r="I27" s="389" t="s">
        <v>493</v>
      </c>
      <c r="J27" s="389" t="s">
        <v>0</v>
      </c>
      <c r="K27" s="389" t="s">
        <v>494</v>
      </c>
      <c r="L27" s="389" t="s">
        <v>415</v>
      </c>
      <c r="M27" s="389" t="s">
        <v>495</v>
      </c>
      <c r="N27" s="389" t="s">
        <v>496</v>
      </c>
      <c r="O27" s="389" t="s">
        <v>497</v>
      </c>
      <c r="P27" s="453" t="s">
        <v>0</v>
      </c>
      <c r="Q27" s="452" t="s">
        <v>486</v>
      </c>
      <c r="R27" s="389" t="s">
        <v>487</v>
      </c>
      <c r="S27" s="389" t="s">
        <v>488</v>
      </c>
      <c r="T27" s="389" t="s">
        <v>489</v>
      </c>
      <c r="U27" s="389" t="s">
        <v>490</v>
      </c>
      <c r="V27" s="389" t="s">
        <v>491</v>
      </c>
      <c r="W27" s="389" t="s">
        <v>492</v>
      </c>
      <c r="X27" s="389" t="s">
        <v>0</v>
      </c>
      <c r="Y27" s="389" t="s">
        <v>493</v>
      </c>
      <c r="Z27" s="389" t="s">
        <v>0</v>
      </c>
      <c r="AA27" s="389" t="s">
        <v>494</v>
      </c>
      <c r="AB27" s="389" t="s">
        <v>415</v>
      </c>
      <c r="AC27" s="389" t="s">
        <v>495</v>
      </c>
      <c r="AD27" s="389" t="s">
        <v>496</v>
      </c>
      <c r="AE27" s="389" t="s">
        <v>497</v>
      </c>
      <c r="AF27" s="453" t="s">
        <v>0</v>
      </c>
      <c r="AG27" s="452" t="s">
        <v>486</v>
      </c>
      <c r="AH27" s="389" t="s">
        <v>487</v>
      </c>
      <c r="AI27" s="389" t="s">
        <v>488</v>
      </c>
      <c r="AJ27" s="389" t="s">
        <v>489</v>
      </c>
      <c r="AK27" s="389" t="s">
        <v>490</v>
      </c>
      <c r="AL27" s="389" t="s">
        <v>491</v>
      </c>
      <c r="AM27" s="389" t="s">
        <v>492</v>
      </c>
      <c r="AN27" s="389" t="s">
        <v>0</v>
      </c>
      <c r="AO27" s="389" t="s">
        <v>493</v>
      </c>
      <c r="AP27" s="389" t="s">
        <v>0</v>
      </c>
      <c r="AQ27" s="389" t="s">
        <v>494</v>
      </c>
      <c r="AR27" s="389" t="s">
        <v>415</v>
      </c>
      <c r="AS27" s="389" t="s">
        <v>495</v>
      </c>
      <c r="AT27" s="389" t="s">
        <v>496</v>
      </c>
      <c r="AU27" s="389" t="s">
        <v>497</v>
      </c>
      <c r="AV27" s="453" t="s">
        <v>0</v>
      </c>
    </row>
    <row r="28" spans="1:48" ht="15" customHeight="1">
      <c r="A28" s="452" t="s">
        <v>0</v>
      </c>
      <c r="B28" s="389" t="s">
        <v>0</v>
      </c>
      <c r="C28" s="389" t="s">
        <v>0</v>
      </c>
      <c r="D28" s="389" t="s">
        <v>0</v>
      </c>
      <c r="E28" s="389" t="s">
        <v>0</v>
      </c>
      <c r="F28" s="389" t="s">
        <v>0</v>
      </c>
      <c r="G28" s="389" t="s">
        <v>498</v>
      </c>
      <c r="H28" s="389" t="s">
        <v>0</v>
      </c>
      <c r="I28" s="389"/>
      <c r="J28" s="389"/>
      <c r="K28" s="390" t="s">
        <v>499</v>
      </c>
      <c r="L28" s="389"/>
      <c r="M28" s="389"/>
      <c r="N28" s="389"/>
      <c r="O28" s="389"/>
      <c r="P28" s="453" t="s">
        <v>500</v>
      </c>
      <c r="Q28" s="452" t="s">
        <v>0</v>
      </c>
      <c r="R28" s="389" t="s">
        <v>0</v>
      </c>
      <c r="S28" s="389" t="s">
        <v>0</v>
      </c>
      <c r="T28" s="389" t="s">
        <v>0</v>
      </c>
      <c r="U28" s="389" t="s">
        <v>0</v>
      </c>
      <c r="V28" s="389" t="s">
        <v>0</v>
      </c>
      <c r="W28" s="389" t="s">
        <v>498</v>
      </c>
      <c r="X28" s="389" t="s">
        <v>0</v>
      </c>
      <c r="Y28" s="389"/>
      <c r="Z28" s="389"/>
      <c r="AA28" s="390" t="s">
        <v>499</v>
      </c>
      <c r="AB28" s="389"/>
      <c r="AC28" s="389"/>
      <c r="AD28" s="389"/>
      <c r="AE28" s="389"/>
      <c r="AF28" s="453" t="s">
        <v>500</v>
      </c>
      <c r="AG28" s="452" t="s">
        <v>0</v>
      </c>
      <c r="AH28" s="389" t="s">
        <v>0</v>
      </c>
      <c r="AI28" s="389" t="s">
        <v>0</v>
      </c>
      <c r="AJ28" s="389" t="s">
        <v>0</v>
      </c>
      <c r="AK28" s="389" t="s">
        <v>0</v>
      </c>
      <c r="AL28" s="389" t="s">
        <v>0</v>
      </c>
      <c r="AM28" s="389" t="s">
        <v>498</v>
      </c>
      <c r="AN28" s="389" t="s">
        <v>0</v>
      </c>
      <c r="AO28" s="389"/>
      <c r="AP28" s="389"/>
      <c r="AQ28" s="390" t="s">
        <v>499</v>
      </c>
      <c r="AR28" s="389"/>
      <c r="AS28" s="389"/>
      <c r="AT28" s="389"/>
      <c r="AU28" s="389"/>
      <c r="AV28" s="453" t="s">
        <v>500</v>
      </c>
    </row>
    <row r="29" spans="1:48" ht="15" customHeight="1">
      <c r="A29" s="454" t="s">
        <v>501</v>
      </c>
      <c r="B29" s="392" t="s">
        <v>502</v>
      </c>
      <c r="C29" s="392" t="s">
        <v>503</v>
      </c>
      <c r="D29" s="392" t="s">
        <v>503</v>
      </c>
      <c r="E29" s="392" t="s">
        <v>504</v>
      </c>
      <c r="F29" s="392" t="s">
        <v>503</v>
      </c>
      <c r="G29" s="392" t="s">
        <v>503</v>
      </c>
      <c r="H29" s="392" t="s">
        <v>503</v>
      </c>
      <c r="I29" s="392" t="s">
        <v>1</v>
      </c>
      <c r="J29" s="392" t="s">
        <v>1</v>
      </c>
      <c r="K29" s="392" t="s">
        <v>2</v>
      </c>
      <c r="L29" s="392" t="s">
        <v>505</v>
      </c>
      <c r="M29" s="392" t="s">
        <v>501</v>
      </c>
      <c r="N29" s="392" t="s">
        <v>506</v>
      </c>
      <c r="O29" s="392" t="s">
        <v>503</v>
      </c>
      <c r="P29" s="455" t="s">
        <v>503</v>
      </c>
      <c r="Q29" s="454" t="s">
        <v>501</v>
      </c>
      <c r="R29" s="392" t="s">
        <v>502</v>
      </c>
      <c r="S29" s="392" t="s">
        <v>503</v>
      </c>
      <c r="T29" s="392" t="s">
        <v>503</v>
      </c>
      <c r="U29" s="392" t="s">
        <v>504</v>
      </c>
      <c r="V29" s="392" t="s">
        <v>503</v>
      </c>
      <c r="W29" s="392" t="s">
        <v>503</v>
      </c>
      <c r="X29" s="392" t="s">
        <v>503</v>
      </c>
      <c r="Y29" s="392" t="s">
        <v>1</v>
      </c>
      <c r="Z29" s="392" t="s">
        <v>1</v>
      </c>
      <c r="AA29" s="392" t="s">
        <v>2</v>
      </c>
      <c r="AB29" s="392" t="s">
        <v>505</v>
      </c>
      <c r="AC29" s="392" t="s">
        <v>501</v>
      </c>
      <c r="AD29" s="392" t="s">
        <v>506</v>
      </c>
      <c r="AE29" s="392" t="s">
        <v>503</v>
      </c>
      <c r="AF29" s="455" t="s">
        <v>503</v>
      </c>
      <c r="AG29" s="454" t="s">
        <v>501</v>
      </c>
      <c r="AH29" s="392" t="s">
        <v>502</v>
      </c>
      <c r="AI29" s="392" t="s">
        <v>503</v>
      </c>
      <c r="AJ29" s="392" t="s">
        <v>503</v>
      </c>
      <c r="AK29" s="392" t="s">
        <v>504</v>
      </c>
      <c r="AL29" s="392" t="s">
        <v>503</v>
      </c>
      <c r="AM29" s="392" t="s">
        <v>503</v>
      </c>
      <c r="AN29" s="392" t="s">
        <v>503</v>
      </c>
      <c r="AO29" s="392" t="s">
        <v>1</v>
      </c>
      <c r="AP29" s="392" t="s">
        <v>1</v>
      </c>
      <c r="AQ29" s="392" t="s">
        <v>2</v>
      </c>
      <c r="AR29" s="392" t="s">
        <v>505</v>
      </c>
      <c r="AS29" s="392" t="s">
        <v>501</v>
      </c>
      <c r="AT29" s="392" t="s">
        <v>506</v>
      </c>
      <c r="AU29" s="392" t="s">
        <v>503</v>
      </c>
      <c r="AV29" s="455" t="s">
        <v>503</v>
      </c>
    </row>
    <row r="30" spans="1:48" ht="15" customHeight="1">
      <c r="A30" s="456">
        <f>IF(F19="","",F19)</f>
      </c>
      <c r="B30" s="393">
        <f aca="true" t="shared" si="2" ref="B30:B70">IF(A30="","",A30*($F$4+($F$5+$F$6)*A30+$F$4)/2)</f>
      </c>
      <c r="C30" s="393">
        <f aca="true" t="shared" si="3" ref="C30:C70">IF(A30="","",$F$4+(1+$F$5^2)^0.5*A30+(1+$F$6^2)^0.5*A30)</f>
      </c>
      <c r="D30" s="394">
        <f aca="true" t="shared" si="4" ref="D30:D70">IF(C30="","",B30/C30)</f>
      </c>
      <c r="E30" s="394">
        <f aca="true" t="shared" si="5" ref="E30:E70">IF(B30="","",$F$9/B30)</f>
      </c>
      <c r="F30" s="394">
        <f aca="true" t="shared" si="6" ref="F30:F70">IF(A30="","",E30^2/64.4)</f>
      </c>
      <c r="G30" s="394">
        <f aca="true" t="shared" si="7" ref="G30:G70">IF(A30="","",F30+A30)</f>
      </c>
      <c r="H30" s="394">
        <v>0</v>
      </c>
      <c r="I30" s="395">
        <f aca="true" t="shared" si="8" ref="I30:I70">IF(D30="","",($F$7^2*E30^2)/(2.22*D30^1.333))</f>
      </c>
      <c r="J30" s="396"/>
      <c r="K30" s="397"/>
      <c r="L30" s="398">
        <v>0</v>
      </c>
      <c r="M30" s="394">
        <f aca="true" t="shared" si="9" ref="M30:M70">IF(A30="","",(0.33*0.5*$F$5*A30^3+0.33*0.5*$F$6*A30^3+0.5*$F$4*A30^2)/B30)</f>
      </c>
      <c r="N30" s="399">
        <f aca="true" t="shared" si="10" ref="N30:N70">IF(A30="","",(62.4*M30*B30+1.94*E30*$F$9)/1000)</f>
      </c>
      <c r="O30" s="394">
        <f>+F20</f>
        <v>0</v>
      </c>
      <c r="P30" s="457">
        <f aca="true" t="shared" si="11" ref="P30:P70">IF(A30="","",0+O30+A30)</f>
      </c>
      <c r="Q30" s="456">
        <f>+V19</f>
      </c>
      <c r="R30" s="393">
        <f aca="true" t="shared" si="12" ref="R30:R70">IF(Q30="","",Q30*($F$4+($F$5+$F$6)*Q30+$F$4)/2)</f>
      </c>
      <c r="S30" s="393">
        <f aca="true" t="shared" si="13" ref="S30:S70">IF(Q30="","",$F$4+(1+$F$5^2)^0.5*Q30+(1+$F$6^2)^0.5*Q30)</f>
      </c>
      <c r="T30" s="394">
        <f aca="true" t="shared" si="14" ref="T30:T70">IF(Q30="","",R30/S30)</f>
      </c>
      <c r="U30" s="394">
        <f aca="true" t="shared" si="15" ref="U30:U70">IF(Q30="","",$F$9/R30)</f>
      </c>
      <c r="V30" s="394">
        <f aca="true" t="shared" si="16" ref="V30:V70">IF(Q30="","",U30^2/64.4)</f>
      </c>
      <c r="W30" s="394">
        <f aca="true" t="shared" si="17" ref="W30:W70">IF(Q30="","",V30+Q30)</f>
      </c>
      <c r="X30" s="394">
        <v>0</v>
      </c>
      <c r="Y30" s="395">
        <f aca="true" t="shared" si="18" ref="Y30:Y70">IF(Q30="","",($F$7^2*U30^2)/(2.22*T30^1.333))</f>
      </c>
      <c r="Z30" s="396"/>
      <c r="AA30" s="397"/>
      <c r="AB30" s="398">
        <v>0</v>
      </c>
      <c r="AC30" s="394">
        <f aca="true" t="shared" si="19" ref="AC30:AC70">IF(Q30="","",(0.33*0.5*$F$5*Q30^3+0.33*0.5*$F$6*Q30^3+0.5*$F$4*Q30^2)/R30)</f>
      </c>
      <c r="AD30" s="399">
        <f aca="true" t="shared" si="20" ref="AD30:AD70">IF(Q30="","",(62.4*AC30*R30+1.94*U30*$F$9)/1000)</f>
      </c>
      <c r="AE30" s="394">
        <f>IF(Q30="","",V20)</f>
      </c>
      <c r="AF30" s="457">
        <f aca="true" t="shared" si="21" ref="AF30:AF70">IF(Q30="","",AE30+Q30)</f>
      </c>
      <c r="AG30" s="456">
        <f>+AL19</f>
      </c>
      <c r="AH30" s="393">
        <f aca="true" t="shared" si="22" ref="AH30:AH70">IF(AG30="","",AG30*($F$4+($F$5+$F$6)*AG30+$F$4)/2)</f>
      </c>
      <c r="AI30" s="393">
        <f aca="true" t="shared" si="23" ref="AI30:AI70">IF(AG30="","",$F$4+(1+$F$5^2)^0.5*AG30+(1+$F$6^2)^0.5*AG30)</f>
      </c>
      <c r="AJ30" s="394">
        <f aca="true" t="shared" si="24" ref="AJ30:AJ70">IF(AG30="","",AH30/AI30)</f>
      </c>
      <c r="AK30" s="394">
        <f aca="true" t="shared" si="25" ref="AK30:AK70">IF(AG30="","",$F$9/AH30)</f>
      </c>
      <c r="AL30" s="394">
        <f aca="true" t="shared" si="26" ref="AL30:AL70">IF(AG30="","",AK30^2/64.4)</f>
      </c>
      <c r="AM30" s="394">
        <f aca="true" t="shared" si="27" ref="AM30:AM70">IF(AG30="","",AL30+AG30)</f>
      </c>
      <c r="AN30" s="394">
        <f>IF(AG30="","",0)</f>
      </c>
      <c r="AO30" s="395">
        <f aca="true" t="shared" si="28" ref="AO30:AO70">IF(AG30="","",($F$7^2*AK30^2)/(2.22*AJ30^1.333))</f>
      </c>
      <c r="AP30" s="396"/>
      <c r="AQ30" s="397"/>
      <c r="AR30" s="398">
        <v>1000</v>
      </c>
      <c r="AS30" s="400">
        <f aca="true" t="shared" si="29" ref="AS30:AS70">IF(AG30="","",(0.33*0.5*$F$5*AG30^3+0.33*0.5*$F$6*AG30^3+0.5*$F$4*AG30^2)/AH30)</f>
      </c>
      <c r="AT30" s="400">
        <f aca="true" t="shared" si="30" ref="AT30:AT70">IF(AG30="","",(62.4*AS30*AH30+1.94*AK30*$F$9)/1000)</f>
      </c>
      <c r="AU30" s="400">
        <f>+AL20</f>
        <v>100</v>
      </c>
      <c r="AV30" s="465">
        <f aca="true" t="shared" si="31" ref="AV30:AV70">IF(AG30="","",AU30+AG30)</f>
      </c>
    </row>
    <row r="31" spans="1:48" ht="15" customHeight="1">
      <c r="A31" s="458"/>
      <c r="B31" s="393">
        <f t="shared" si="2"/>
      </c>
      <c r="C31" s="393">
        <f t="shared" si="3"/>
      </c>
      <c r="D31" s="394">
        <f t="shared" si="4"/>
      </c>
      <c r="E31" s="394">
        <f t="shared" si="5"/>
      </c>
      <c r="F31" s="394">
        <f t="shared" si="6"/>
      </c>
      <c r="G31" s="394">
        <f t="shared" si="7"/>
      </c>
      <c r="H31" s="394">
        <f aca="true" t="shared" si="32" ref="H31:H70">IF(A31="","",ABS(G30-G31))</f>
      </c>
      <c r="I31" s="395">
        <f t="shared" si="8"/>
      </c>
      <c r="J31" s="395">
        <f aca="true" t="shared" si="33" ref="J31:J70">IF(A31="","",0.5*(I31+I30))</f>
      </c>
      <c r="K31" s="399">
        <f aca="true" t="shared" si="34" ref="K31:K70">IF(A31="","",ABS(H31/($F$8-J31)))</f>
      </c>
      <c r="L31" s="399">
        <f aca="true" t="shared" si="35" ref="L31:L70">IF(A31="","",K31+L30)</f>
      </c>
      <c r="M31" s="394">
        <f t="shared" si="9"/>
      </c>
      <c r="N31" s="399">
        <f t="shared" si="10"/>
      </c>
      <c r="O31" s="394">
        <f aca="true" t="shared" si="36" ref="O31:O70">IF(A31="","",O30+$F$8*K31)</f>
      </c>
      <c r="P31" s="457">
        <f t="shared" si="11"/>
      </c>
      <c r="Q31" s="458"/>
      <c r="R31" s="393">
        <f t="shared" si="12"/>
      </c>
      <c r="S31" s="393">
        <f t="shared" si="13"/>
      </c>
      <c r="T31" s="394">
        <f t="shared" si="14"/>
      </c>
      <c r="U31" s="394">
        <f t="shared" si="15"/>
      </c>
      <c r="V31" s="394">
        <f t="shared" si="16"/>
      </c>
      <c r="W31" s="394">
        <f t="shared" si="17"/>
      </c>
      <c r="X31" s="394">
        <f aca="true" t="shared" si="37" ref="X31:X70">IF(Q31="","",ABS(W30-W31))</f>
      </c>
      <c r="Y31" s="395">
        <f t="shared" si="18"/>
      </c>
      <c r="Z31" s="395">
        <f aca="true" t="shared" si="38" ref="Z31:Z70">IF(Q31="","",0.5*(Y31+Y30))</f>
      </c>
      <c r="AA31" s="399">
        <f aca="true" t="shared" si="39" ref="AA31:AA70">IF(Q31="","",ABS(X31/($F$8-Z31)))</f>
      </c>
      <c r="AB31" s="399">
        <f aca="true" t="shared" si="40" ref="AB31:AB70">IF(Q31="","",AA31+AB30)</f>
      </c>
      <c r="AC31" s="394">
        <f t="shared" si="19"/>
      </c>
      <c r="AD31" s="399">
        <f t="shared" si="20"/>
      </c>
      <c r="AE31" s="394">
        <f aca="true" t="shared" si="41" ref="AE31:AE70">IF(Q31="","",AE30+$F$8*AA31)</f>
      </c>
      <c r="AF31" s="457">
        <f t="shared" si="21"/>
      </c>
      <c r="AG31" s="458"/>
      <c r="AH31" s="393">
        <f t="shared" si="22"/>
      </c>
      <c r="AI31" s="393">
        <f t="shared" si="23"/>
      </c>
      <c r="AJ31" s="394">
        <f t="shared" si="24"/>
      </c>
      <c r="AK31" s="394">
        <f t="shared" si="25"/>
      </c>
      <c r="AL31" s="394">
        <f t="shared" si="26"/>
      </c>
      <c r="AM31" s="394">
        <f t="shared" si="27"/>
      </c>
      <c r="AN31" s="394">
        <f aca="true" t="shared" si="42" ref="AN31:AN70">IF(AG31="","",ABS(AM30-AM31))</f>
      </c>
      <c r="AO31" s="395">
        <f t="shared" si="28"/>
      </c>
      <c r="AP31" s="395">
        <f aca="true" t="shared" si="43" ref="AP31:AP70">IF(AG31="","",0.5*(AO31+AO30))</f>
      </c>
      <c r="AQ31" s="399">
        <f aca="true" t="shared" si="44" ref="AQ31:AQ70">IF(AG31="","",ABS(AN31/($F$8-AP31)))</f>
      </c>
      <c r="AR31" s="399">
        <f aca="true" t="shared" si="45" ref="AR31:AR70">IF(AG31="","",AR30-AQ31)</f>
      </c>
      <c r="AS31" s="400">
        <f t="shared" si="29"/>
      </c>
      <c r="AT31" s="400">
        <f t="shared" si="30"/>
      </c>
      <c r="AU31" s="400">
        <f aca="true" t="shared" si="46" ref="AU31:AU70">IF(AG31="","",AU30-$F$8*AQ31)</f>
      </c>
      <c r="AV31" s="465">
        <f t="shared" si="31"/>
      </c>
    </row>
    <row r="32" spans="1:48" ht="15" customHeight="1">
      <c r="A32" s="458"/>
      <c r="B32" s="393">
        <f t="shared" si="2"/>
      </c>
      <c r="C32" s="393">
        <f t="shared" si="3"/>
      </c>
      <c r="D32" s="394">
        <f t="shared" si="4"/>
      </c>
      <c r="E32" s="394">
        <f t="shared" si="5"/>
      </c>
      <c r="F32" s="394">
        <f t="shared" si="6"/>
      </c>
      <c r="G32" s="394">
        <f t="shared" si="7"/>
      </c>
      <c r="H32" s="394">
        <f t="shared" si="32"/>
      </c>
      <c r="I32" s="395">
        <f t="shared" si="8"/>
      </c>
      <c r="J32" s="395">
        <f t="shared" si="33"/>
      </c>
      <c r="K32" s="399">
        <f t="shared" si="34"/>
      </c>
      <c r="L32" s="399">
        <f t="shared" si="35"/>
      </c>
      <c r="M32" s="394">
        <f t="shared" si="9"/>
      </c>
      <c r="N32" s="399">
        <f t="shared" si="10"/>
      </c>
      <c r="O32" s="394">
        <f t="shared" si="36"/>
      </c>
      <c r="P32" s="457">
        <f t="shared" si="11"/>
      </c>
      <c r="Q32" s="458"/>
      <c r="R32" s="393">
        <f t="shared" si="12"/>
      </c>
      <c r="S32" s="393">
        <f t="shared" si="13"/>
      </c>
      <c r="T32" s="394">
        <f t="shared" si="14"/>
      </c>
      <c r="U32" s="394">
        <f t="shared" si="15"/>
      </c>
      <c r="V32" s="394">
        <f t="shared" si="16"/>
      </c>
      <c r="W32" s="394">
        <f t="shared" si="17"/>
      </c>
      <c r="X32" s="394">
        <f t="shared" si="37"/>
      </c>
      <c r="Y32" s="395">
        <f t="shared" si="18"/>
      </c>
      <c r="Z32" s="395">
        <f t="shared" si="38"/>
      </c>
      <c r="AA32" s="399">
        <f t="shared" si="39"/>
      </c>
      <c r="AB32" s="399">
        <f t="shared" si="40"/>
      </c>
      <c r="AC32" s="394">
        <f t="shared" si="19"/>
      </c>
      <c r="AD32" s="399">
        <f t="shared" si="20"/>
      </c>
      <c r="AE32" s="394">
        <f t="shared" si="41"/>
      </c>
      <c r="AF32" s="457">
        <f t="shared" si="21"/>
      </c>
      <c r="AG32" s="458"/>
      <c r="AH32" s="393">
        <f t="shared" si="22"/>
      </c>
      <c r="AI32" s="393">
        <f t="shared" si="23"/>
      </c>
      <c r="AJ32" s="394">
        <f t="shared" si="24"/>
      </c>
      <c r="AK32" s="394">
        <f t="shared" si="25"/>
      </c>
      <c r="AL32" s="394">
        <f t="shared" si="26"/>
      </c>
      <c r="AM32" s="394">
        <f t="shared" si="27"/>
      </c>
      <c r="AN32" s="394">
        <f t="shared" si="42"/>
      </c>
      <c r="AO32" s="395">
        <f t="shared" si="28"/>
      </c>
      <c r="AP32" s="395">
        <f t="shared" si="43"/>
      </c>
      <c r="AQ32" s="399">
        <f t="shared" si="44"/>
      </c>
      <c r="AR32" s="399">
        <f t="shared" si="45"/>
      </c>
      <c r="AS32" s="400">
        <f t="shared" si="29"/>
      </c>
      <c r="AT32" s="400">
        <f t="shared" si="30"/>
      </c>
      <c r="AU32" s="400">
        <f t="shared" si="46"/>
      </c>
      <c r="AV32" s="465">
        <f t="shared" si="31"/>
      </c>
    </row>
    <row r="33" spans="1:48" ht="15" customHeight="1">
      <c r="A33" s="458"/>
      <c r="B33" s="393">
        <f t="shared" si="2"/>
      </c>
      <c r="C33" s="393">
        <f t="shared" si="3"/>
      </c>
      <c r="D33" s="394">
        <f t="shared" si="4"/>
      </c>
      <c r="E33" s="394">
        <f t="shared" si="5"/>
      </c>
      <c r="F33" s="394">
        <f t="shared" si="6"/>
      </c>
      <c r="G33" s="394">
        <f t="shared" si="7"/>
      </c>
      <c r="H33" s="394">
        <f t="shared" si="32"/>
      </c>
      <c r="I33" s="395">
        <f t="shared" si="8"/>
      </c>
      <c r="J33" s="395">
        <f t="shared" si="33"/>
      </c>
      <c r="K33" s="399">
        <f t="shared" si="34"/>
      </c>
      <c r="L33" s="399">
        <f t="shared" si="35"/>
      </c>
      <c r="M33" s="394">
        <f t="shared" si="9"/>
      </c>
      <c r="N33" s="399">
        <f t="shared" si="10"/>
      </c>
      <c r="O33" s="394">
        <f t="shared" si="36"/>
      </c>
      <c r="P33" s="457">
        <f t="shared" si="11"/>
      </c>
      <c r="Q33" s="458"/>
      <c r="R33" s="393">
        <f t="shared" si="12"/>
      </c>
      <c r="S33" s="393">
        <f t="shared" si="13"/>
      </c>
      <c r="T33" s="394">
        <f t="shared" si="14"/>
      </c>
      <c r="U33" s="394">
        <f t="shared" si="15"/>
      </c>
      <c r="V33" s="394">
        <f t="shared" si="16"/>
      </c>
      <c r="W33" s="394">
        <f t="shared" si="17"/>
      </c>
      <c r="X33" s="394">
        <f t="shared" si="37"/>
      </c>
      <c r="Y33" s="395">
        <f t="shared" si="18"/>
      </c>
      <c r="Z33" s="395">
        <f t="shared" si="38"/>
      </c>
      <c r="AA33" s="399">
        <f t="shared" si="39"/>
      </c>
      <c r="AB33" s="399">
        <f t="shared" si="40"/>
      </c>
      <c r="AC33" s="394">
        <f t="shared" si="19"/>
      </c>
      <c r="AD33" s="399">
        <f t="shared" si="20"/>
      </c>
      <c r="AE33" s="394">
        <f t="shared" si="41"/>
      </c>
      <c r="AF33" s="457">
        <f t="shared" si="21"/>
      </c>
      <c r="AG33" s="458"/>
      <c r="AH33" s="393">
        <f t="shared" si="22"/>
      </c>
      <c r="AI33" s="393">
        <f t="shared" si="23"/>
      </c>
      <c r="AJ33" s="394">
        <f t="shared" si="24"/>
      </c>
      <c r="AK33" s="394">
        <f t="shared" si="25"/>
      </c>
      <c r="AL33" s="394">
        <f t="shared" si="26"/>
      </c>
      <c r="AM33" s="394">
        <f t="shared" si="27"/>
      </c>
      <c r="AN33" s="394">
        <f t="shared" si="42"/>
      </c>
      <c r="AO33" s="395">
        <f t="shared" si="28"/>
      </c>
      <c r="AP33" s="395">
        <f t="shared" si="43"/>
      </c>
      <c r="AQ33" s="399">
        <f t="shared" si="44"/>
      </c>
      <c r="AR33" s="399">
        <f t="shared" si="45"/>
      </c>
      <c r="AS33" s="400">
        <f t="shared" si="29"/>
      </c>
      <c r="AT33" s="400">
        <f t="shared" si="30"/>
      </c>
      <c r="AU33" s="400">
        <f t="shared" si="46"/>
      </c>
      <c r="AV33" s="465">
        <f t="shared" si="31"/>
      </c>
    </row>
    <row r="34" spans="1:48" ht="15" customHeight="1">
      <c r="A34" s="458"/>
      <c r="B34" s="393">
        <f t="shared" si="2"/>
      </c>
      <c r="C34" s="393">
        <f t="shared" si="3"/>
      </c>
      <c r="D34" s="394">
        <f t="shared" si="4"/>
      </c>
      <c r="E34" s="394">
        <f t="shared" si="5"/>
      </c>
      <c r="F34" s="394">
        <f t="shared" si="6"/>
      </c>
      <c r="G34" s="394">
        <f t="shared" si="7"/>
      </c>
      <c r="H34" s="394">
        <f t="shared" si="32"/>
      </c>
      <c r="I34" s="395">
        <f t="shared" si="8"/>
      </c>
      <c r="J34" s="395">
        <f t="shared" si="33"/>
      </c>
      <c r="K34" s="399">
        <f t="shared" si="34"/>
      </c>
      <c r="L34" s="399">
        <f t="shared" si="35"/>
      </c>
      <c r="M34" s="394">
        <f t="shared" si="9"/>
      </c>
      <c r="N34" s="399">
        <f t="shared" si="10"/>
      </c>
      <c r="O34" s="394">
        <f t="shared" si="36"/>
      </c>
      <c r="P34" s="457">
        <f t="shared" si="11"/>
      </c>
      <c r="Q34" s="458"/>
      <c r="R34" s="393">
        <f t="shared" si="12"/>
      </c>
      <c r="S34" s="393">
        <f t="shared" si="13"/>
      </c>
      <c r="T34" s="394">
        <f t="shared" si="14"/>
      </c>
      <c r="U34" s="394">
        <f t="shared" si="15"/>
      </c>
      <c r="V34" s="394">
        <f t="shared" si="16"/>
      </c>
      <c r="W34" s="394">
        <f t="shared" si="17"/>
      </c>
      <c r="X34" s="394">
        <f t="shared" si="37"/>
      </c>
      <c r="Y34" s="395">
        <f t="shared" si="18"/>
      </c>
      <c r="Z34" s="395">
        <f t="shared" si="38"/>
      </c>
      <c r="AA34" s="399">
        <f t="shared" si="39"/>
      </c>
      <c r="AB34" s="399">
        <f t="shared" si="40"/>
      </c>
      <c r="AC34" s="394">
        <f t="shared" si="19"/>
      </c>
      <c r="AD34" s="399">
        <f t="shared" si="20"/>
      </c>
      <c r="AE34" s="394">
        <f t="shared" si="41"/>
      </c>
      <c r="AF34" s="457">
        <f t="shared" si="21"/>
      </c>
      <c r="AG34" s="458"/>
      <c r="AH34" s="393">
        <f t="shared" si="22"/>
      </c>
      <c r="AI34" s="393">
        <f t="shared" si="23"/>
      </c>
      <c r="AJ34" s="394">
        <f t="shared" si="24"/>
      </c>
      <c r="AK34" s="394">
        <f t="shared" si="25"/>
      </c>
      <c r="AL34" s="394">
        <f t="shared" si="26"/>
      </c>
      <c r="AM34" s="394">
        <f t="shared" si="27"/>
      </c>
      <c r="AN34" s="394">
        <f t="shared" si="42"/>
      </c>
      <c r="AO34" s="395">
        <f t="shared" si="28"/>
      </c>
      <c r="AP34" s="395">
        <f t="shared" si="43"/>
      </c>
      <c r="AQ34" s="399">
        <f t="shared" si="44"/>
      </c>
      <c r="AR34" s="399">
        <f t="shared" si="45"/>
      </c>
      <c r="AS34" s="400">
        <f t="shared" si="29"/>
      </c>
      <c r="AT34" s="400">
        <f t="shared" si="30"/>
      </c>
      <c r="AU34" s="400">
        <f t="shared" si="46"/>
      </c>
      <c r="AV34" s="465">
        <f t="shared" si="31"/>
      </c>
    </row>
    <row r="35" spans="1:48" ht="15" customHeight="1">
      <c r="A35" s="458"/>
      <c r="B35" s="393">
        <f t="shared" si="2"/>
      </c>
      <c r="C35" s="393">
        <f t="shared" si="3"/>
      </c>
      <c r="D35" s="394">
        <f t="shared" si="4"/>
      </c>
      <c r="E35" s="394">
        <f t="shared" si="5"/>
      </c>
      <c r="F35" s="394">
        <f t="shared" si="6"/>
      </c>
      <c r="G35" s="394">
        <f t="shared" si="7"/>
      </c>
      <c r="H35" s="394">
        <f t="shared" si="32"/>
      </c>
      <c r="I35" s="395">
        <f t="shared" si="8"/>
      </c>
      <c r="J35" s="395">
        <f t="shared" si="33"/>
      </c>
      <c r="K35" s="399">
        <f t="shared" si="34"/>
      </c>
      <c r="L35" s="399">
        <f t="shared" si="35"/>
      </c>
      <c r="M35" s="394">
        <f t="shared" si="9"/>
      </c>
      <c r="N35" s="399">
        <f t="shared" si="10"/>
      </c>
      <c r="O35" s="394">
        <f t="shared" si="36"/>
      </c>
      <c r="P35" s="457">
        <f t="shared" si="11"/>
      </c>
      <c r="Q35" s="458"/>
      <c r="R35" s="393">
        <f t="shared" si="12"/>
      </c>
      <c r="S35" s="393">
        <f t="shared" si="13"/>
      </c>
      <c r="T35" s="394">
        <f t="shared" si="14"/>
      </c>
      <c r="U35" s="394">
        <f t="shared" si="15"/>
      </c>
      <c r="V35" s="394">
        <f t="shared" si="16"/>
      </c>
      <c r="W35" s="394">
        <f t="shared" si="17"/>
      </c>
      <c r="X35" s="394">
        <f t="shared" si="37"/>
      </c>
      <c r="Y35" s="395">
        <f t="shared" si="18"/>
      </c>
      <c r="Z35" s="395">
        <f t="shared" si="38"/>
      </c>
      <c r="AA35" s="399">
        <f t="shared" si="39"/>
      </c>
      <c r="AB35" s="399">
        <f t="shared" si="40"/>
      </c>
      <c r="AC35" s="394">
        <f t="shared" si="19"/>
      </c>
      <c r="AD35" s="399">
        <f t="shared" si="20"/>
      </c>
      <c r="AE35" s="394">
        <f t="shared" si="41"/>
      </c>
      <c r="AF35" s="457">
        <f t="shared" si="21"/>
      </c>
      <c r="AG35" s="458"/>
      <c r="AH35" s="393">
        <f t="shared" si="22"/>
      </c>
      <c r="AI35" s="393">
        <f t="shared" si="23"/>
      </c>
      <c r="AJ35" s="394">
        <f t="shared" si="24"/>
      </c>
      <c r="AK35" s="394">
        <f t="shared" si="25"/>
      </c>
      <c r="AL35" s="394">
        <f t="shared" si="26"/>
      </c>
      <c r="AM35" s="394">
        <f t="shared" si="27"/>
      </c>
      <c r="AN35" s="394">
        <f t="shared" si="42"/>
      </c>
      <c r="AO35" s="395">
        <f t="shared" si="28"/>
      </c>
      <c r="AP35" s="395">
        <f t="shared" si="43"/>
      </c>
      <c r="AQ35" s="399">
        <f t="shared" si="44"/>
      </c>
      <c r="AR35" s="399">
        <f t="shared" si="45"/>
      </c>
      <c r="AS35" s="400">
        <f t="shared" si="29"/>
      </c>
      <c r="AT35" s="400">
        <f t="shared" si="30"/>
      </c>
      <c r="AU35" s="400">
        <f t="shared" si="46"/>
      </c>
      <c r="AV35" s="465">
        <f t="shared" si="31"/>
      </c>
    </row>
    <row r="36" spans="1:48" ht="15" customHeight="1">
      <c r="A36" s="458"/>
      <c r="B36" s="393">
        <f t="shared" si="2"/>
      </c>
      <c r="C36" s="393">
        <f t="shared" si="3"/>
      </c>
      <c r="D36" s="394">
        <f t="shared" si="4"/>
      </c>
      <c r="E36" s="394">
        <f t="shared" si="5"/>
      </c>
      <c r="F36" s="394">
        <f t="shared" si="6"/>
      </c>
      <c r="G36" s="394">
        <f t="shared" si="7"/>
      </c>
      <c r="H36" s="394">
        <f t="shared" si="32"/>
      </c>
      <c r="I36" s="395">
        <f t="shared" si="8"/>
      </c>
      <c r="J36" s="395">
        <f t="shared" si="33"/>
      </c>
      <c r="K36" s="399">
        <f t="shared" si="34"/>
      </c>
      <c r="L36" s="399">
        <f t="shared" si="35"/>
      </c>
      <c r="M36" s="394">
        <f t="shared" si="9"/>
      </c>
      <c r="N36" s="399">
        <f t="shared" si="10"/>
      </c>
      <c r="O36" s="394">
        <f t="shared" si="36"/>
      </c>
      <c r="P36" s="457">
        <f t="shared" si="11"/>
      </c>
      <c r="Q36" s="458"/>
      <c r="R36" s="393">
        <f>IF(Q36="","",Q36*($F$4+($F$5+$F$6)*Q36+$F$4)/2)</f>
      </c>
      <c r="S36" s="393">
        <f t="shared" si="13"/>
      </c>
      <c r="T36" s="394">
        <f t="shared" si="14"/>
      </c>
      <c r="U36" s="394">
        <f>IF(Q36="","",$F$9/R36)</f>
      </c>
      <c r="V36" s="394">
        <f t="shared" si="16"/>
      </c>
      <c r="W36" s="394">
        <f t="shared" si="17"/>
      </c>
      <c r="X36" s="394">
        <f t="shared" si="37"/>
      </c>
      <c r="Y36" s="395">
        <f t="shared" si="18"/>
      </c>
      <c r="Z36" s="395">
        <f>IF(Q36="","",0.5*(Y36+Y35))</f>
      </c>
      <c r="AA36" s="399">
        <f>IF(Q36="","",ABS(X36/($F$8-Z36)))</f>
      </c>
      <c r="AB36" s="399">
        <f t="shared" si="40"/>
      </c>
      <c r="AC36" s="394">
        <f t="shared" si="19"/>
      </c>
      <c r="AD36" s="399">
        <f t="shared" si="20"/>
      </c>
      <c r="AE36" s="394">
        <f t="shared" si="41"/>
      </c>
      <c r="AF36" s="457">
        <f t="shared" si="21"/>
      </c>
      <c r="AG36" s="458"/>
      <c r="AH36" s="393">
        <f t="shared" si="22"/>
      </c>
      <c r="AI36" s="393">
        <f t="shared" si="23"/>
      </c>
      <c r="AJ36" s="394">
        <f t="shared" si="24"/>
      </c>
      <c r="AK36" s="394">
        <f t="shared" si="25"/>
      </c>
      <c r="AL36" s="394">
        <f t="shared" si="26"/>
      </c>
      <c r="AM36" s="394">
        <f t="shared" si="27"/>
      </c>
      <c r="AN36" s="394">
        <f t="shared" si="42"/>
      </c>
      <c r="AO36" s="395">
        <f t="shared" si="28"/>
      </c>
      <c r="AP36" s="395">
        <f t="shared" si="43"/>
      </c>
      <c r="AQ36" s="399">
        <f t="shared" si="44"/>
      </c>
      <c r="AR36" s="399">
        <f t="shared" si="45"/>
      </c>
      <c r="AS36" s="400">
        <f t="shared" si="29"/>
      </c>
      <c r="AT36" s="400">
        <f t="shared" si="30"/>
      </c>
      <c r="AU36" s="400">
        <f t="shared" si="46"/>
      </c>
      <c r="AV36" s="465">
        <f t="shared" si="31"/>
      </c>
    </row>
    <row r="37" spans="1:48" ht="15" customHeight="1">
      <c r="A37" s="458"/>
      <c r="B37" s="393">
        <f t="shared" si="2"/>
      </c>
      <c r="C37" s="393">
        <f t="shared" si="3"/>
      </c>
      <c r="D37" s="394">
        <f t="shared" si="4"/>
      </c>
      <c r="E37" s="394">
        <f t="shared" si="5"/>
      </c>
      <c r="F37" s="394">
        <f t="shared" si="6"/>
      </c>
      <c r="G37" s="394">
        <f t="shared" si="7"/>
      </c>
      <c r="H37" s="394">
        <f t="shared" si="32"/>
      </c>
      <c r="I37" s="395">
        <f t="shared" si="8"/>
      </c>
      <c r="J37" s="395">
        <f t="shared" si="33"/>
      </c>
      <c r="K37" s="399">
        <f t="shared" si="34"/>
      </c>
      <c r="L37" s="399">
        <f t="shared" si="35"/>
      </c>
      <c r="M37" s="394">
        <f t="shared" si="9"/>
      </c>
      <c r="N37" s="399">
        <f t="shared" si="10"/>
      </c>
      <c r="O37" s="394">
        <f t="shared" si="36"/>
      </c>
      <c r="P37" s="457">
        <f t="shared" si="11"/>
      </c>
      <c r="Q37" s="458"/>
      <c r="R37" s="393">
        <f t="shared" si="12"/>
      </c>
      <c r="S37" s="393">
        <f t="shared" si="13"/>
      </c>
      <c r="T37" s="394">
        <f t="shared" si="14"/>
      </c>
      <c r="U37" s="394">
        <f t="shared" si="15"/>
      </c>
      <c r="V37" s="394">
        <f t="shared" si="16"/>
      </c>
      <c r="W37" s="394">
        <f t="shared" si="17"/>
      </c>
      <c r="X37" s="394">
        <f t="shared" si="37"/>
      </c>
      <c r="Y37" s="395">
        <f t="shared" si="18"/>
      </c>
      <c r="Z37" s="395">
        <f t="shared" si="38"/>
      </c>
      <c r="AA37" s="399">
        <f t="shared" si="39"/>
      </c>
      <c r="AB37" s="399">
        <f t="shared" si="40"/>
      </c>
      <c r="AC37" s="394">
        <f t="shared" si="19"/>
      </c>
      <c r="AD37" s="399">
        <f t="shared" si="20"/>
      </c>
      <c r="AE37" s="394">
        <f t="shared" si="41"/>
      </c>
      <c r="AF37" s="457">
        <f t="shared" si="21"/>
      </c>
      <c r="AG37" s="458"/>
      <c r="AH37" s="393">
        <f t="shared" si="22"/>
      </c>
      <c r="AI37" s="393">
        <f t="shared" si="23"/>
      </c>
      <c r="AJ37" s="394">
        <f t="shared" si="24"/>
      </c>
      <c r="AK37" s="394">
        <f t="shared" si="25"/>
      </c>
      <c r="AL37" s="394">
        <f t="shared" si="26"/>
      </c>
      <c r="AM37" s="394">
        <f t="shared" si="27"/>
      </c>
      <c r="AN37" s="394">
        <f t="shared" si="42"/>
      </c>
      <c r="AO37" s="395">
        <f t="shared" si="28"/>
      </c>
      <c r="AP37" s="395">
        <f t="shared" si="43"/>
      </c>
      <c r="AQ37" s="399">
        <f t="shared" si="44"/>
      </c>
      <c r="AR37" s="399">
        <f t="shared" si="45"/>
      </c>
      <c r="AS37" s="400">
        <f t="shared" si="29"/>
      </c>
      <c r="AT37" s="400">
        <f t="shared" si="30"/>
      </c>
      <c r="AU37" s="400">
        <f t="shared" si="46"/>
      </c>
      <c r="AV37" s="465">
        <f t="shared" si="31"/>
      </c>
    </row>
    <row r="38" spans="1:48" ht="15" customHeight="1">
      <c r="A38" s="458"/>
      <c r="B38" s="393">
        <f t="shared" si="2"/>
      </c>
      <c r="C38" s="393">
        <f t="shared" si="3"/>
      </c>
      <c r="D38" s="394">
        <f t="shared" si="4"/>
      </c>
      <c r="E38" s="394">
        <f t="shared" si="5"/>
      </c>
      <c r="F38" s="394">
        <f t="shared" si="6"/>
      </c>
      <c r="G38" s="394">
        <f t="shared" si="7"/>
      </c>
      <c r="H38" s="394">
        <f t="shared" si="32"/>
      </c>
      <c r="I38" s="395">
        <f t="shared" si="8"/>
      </c>
      <c r="J38" s="395">
        <f t="shared" si="33"/>
      </c>
      <c r="K38" s="399">
        <f t="shared" si="34"/>
      </c>
      <c r="L38" s="399">
        <f t="shared" si="35"/>
      </c>
      <c r="M38" s="394">
        <f t="shared" si="9"/>
      </c>
      <c r="N38" s="399">
        <f t="shared" si="10"/>
      </c>
      <c r="O38" s="394">
        <f t="shared" si="36"/>
      </c>
      <c r="P38" s="457">
        <f t="shared" si="11"/>
      </c>
      <c r="Q38" s="458"/>
      <c r="R38" s="393">
        <f t="shared" si="12"/>
      </c>
      <c r="S38" s="393">
        <f t="shared" si="13"/>
      </c>
      <c r="T38" s="394">
        <f t="shared" si="14"/>
      </c>
      <c r="U38" s="394">
        <f t="shared" si="15"/>
      </c>
      <c r="V38" s="394">
        <f t="shared" si="16"/>
      </c>
      <c r="W38" s="394">
        <f t="shared" si="17"/>
      </c>
      <c r="X38" s="394">
        <f t="shared" si="37"/>
      </c>
      <c r="Y38" s="395">
        <f t="shared" si="18"/>
      </c>
      <c r="Z38" s="395">
        <f t="shared" si="38"/>
      </c>
      <c r="AA38" s="399">
        <f t="shared" si="39"/>
      </c>
      <c r="AB38" s="399">
        <f t="shared" si="40"/>
      </c>
      <c r="AC38" s="394">
        <f t="shared" si="19"/>
      </c>
      <c r="AD38" s="399">
        <f t="shared" si="20"/>
      </c>
      <c r="AE38" s="394">
        <f t="shared" si="41"/>
      </c>
      <c r="AF38" s="457">
        <f t="shared" si="21"/>
      </c>
      <c r="AG38" s="458"/>
      <c r="AH38" s="393">
        <f t="shared" si="22"/>
      </c>
      <c r="AI38" s="393">
        <f t="shared" si="23"/>
      </c>
      <c r="AJ38" s="394">
        <f t="shared" si="24"/>
      </c>
      <c r="AK38" s="394">
        <f t="shared" si="25"/>
      </c>
      <c r="AL38" s="394">
        <f t="shared" si="26"/>
      </c>
      <c r="AM38" s="394">
        <f t="shared" si="27"/>
      </c>
      <c r="AN38" s="394">
        <f t="shared" si="42"/>
      </c>
      <c r="AO38" s="395">
        <f t="shared" si="28"/>
      </c>
      <c r="AP38" s="395">
        <f t="shared" si="43"/>
      </c>
      <c r="AQ38" s="399">
        <f t="shared" si="44"/>
      </c>
      <c r="AR38" s="399">
        <f t="shared" si="45"/>
      </c>
      <c r="AS38" s="400">
        <f t="shared" si="29"/>
      </c>
      <c r="AT38" s="400">
        <f t="shared" si="30"/>
      </c>
      <c r="AU38" s="400">
        <f t="shared" si="46"/>
      </c>
      <c r="AV38" s="465">
        <f t="shared" si="31"/>
      </c>
    </row>
    <row r="39" spans="1:48" ht="15" customHeight="1">
      <c r="A39" s="458"/>
      <c r="B39" s="393">
        <f t="shared" si="2"/>
      </c>
      <c r="C39" s="393">
        <f t="shared" si="3"/>
      </c>
      <c r="D39" s="394">
        <f t="shared" si="4"/>
      </c>
      <c r="E39" s="394">
        <f t="shared" si="5"/>
      </c>
      <c r="F39" s="394">
        <f t="shared" si="6"/>
      </c>
      <c r="G39" s="394">
        <f t="shared" si="7"/>
      </c>
      <c r="H39" s="394">
        <f t="shared" si="32"/>
      </c>
      <c r="I39" s="395">
        <f t="shared" si="8"/>
      </c>
      <c r="J39" s="395">
        <f t="shared" si="33"/>
      </c>
      <c r="K39" s="399">
        <f t="shared" si="34"/>
      </c>
      <c r="L39" s="399">
        <f t="shared" si="35"/>
      </c>
      <c r="M39" s="394">
        <f t="shared" si="9"/>
      </c>
      <c r="N39" s="399">
        <f t="shared" si="10"/>
      </c>
      <c r="O39" s="394">
        <f t="shared" si="36"/>
      </c>
      <c r="P39" s="457">
        <f t="shared" si="11"/>
      </c>
      <c r="Q39" s="458"/>
      <c r="R39" s="393">
        <f t="shared" si="12"/>
      </c>
      <c r="S39" s="393">
        <f t="shared" si="13"/>
      </c>
      <c r="T39" s="394">
        <f t="shared" si="14"/>
      </c>
      <c r="U39" s="394">
        <f t="shared" si="15"/>
      </c>
      <c r="V39" s="394">
        <f t="shared" si="16"/>
      </c>
      <c r="W39" s="394">
        <f t="shared" si="17"/>
      </c>
      <c r="X39" s="394">
        <f t="shared" si="37"/>
      </c>
      <c r="Y39" s="395">
        <f t="shared" si="18"/>
      </c>
      <c r="Z39" s="395">
        <f t="shared" si="38"/>
      </c>
      <c r="AA39" s="399">
        <f t="shared" si="39"/>
      </c>
      <c r="AB39" s="399">
        <f t="shared" si="40"/>
      </c>
      <c r="AC39" s="394">
        <f t="shared" si="19"/>
      </c>
      <c r="AD39" s="399">
        <f t="shared" si="20"/>
      </c>
      <c r="AE39" s="394">
        <f t="shared" si="41"/>
      </c>
      <c r="AF39" s="457">
        <f t="shared" si="21"/>
      </c>
      <c r="AG39" s="458"/>
      <c r="AH39" s="393">
        <f t="shared" si="22"/>
      </c>
      <c r="AI39" s="393">
        <f t="shared" si="23"/>
      </c>
      <c r="AJ39" s="394">
        <f t="shared" si="24"/>
      </c>
      <c r="AK39" s="394">
        <f t="shared" si="25"/>
      </c>
      <c r="AL39" s="394">
        <f t="shared" si="26"/>
      </c>
      <c r="AM39" s="394">
        <f t="shared" si="27"/>
      </c>
      <c r="AN39" s="394">
        <f t="shared" si="42"/>
      </c>
      <c r="AO39" s="395">
        <f t="shared" si="28"/>
      </c>
      <c r="AP39" s="395">
        <f t="shared" si="43"/>
      </c>
      <c r="AQ39" s="399">
        <f t="shared" si="44"/>
      </c>
      <c r="AR39" s="399">
        <f t="shared" si="45"/>
      </c>
      <c r="AS39" s="400">
        <f t="shared" si="29"/>
      </c>
      <c r="AT39" s="400">
        <f t="shared" si="30"/>
      </c>
      <c r="AU39" s="400">
        <f t="shared" si="46"/>
      </c>
      <c r="AV39" s="465">
        <f t="shared" si="31"/>
      </c>
    </row>
    <row r="40" spans="1:48" ht="15" customHeight="1">
      <c r="A40" s="458"/>
      <c r="B40" s="393">
        <f t="shared" si="2"/>
      </c>
      <c r="C40" s="393">
        <f t="shared" si="3"/>
      </c>
      <c r="D40" s="394">
        <f t="shared" si="4"/>
      </c>
      <c r="E40" s="394">
        <f t="shared" si="5"/>
      </c>
      <c r="F40" s="394">
        <f t="shared" si="6"/>
      </c>
      <c r="G40" s="394">
        <f t="shared" si="7"/>
      </c>
      <c r="H40" s="394">
        <f t="shared" si="32"/>
      </c>
      <c r="I40" s="395">
        <f t="shared" si="8"/>
      </c>
      <c r="J40" s="395">
        <f t="shared" si="33"/>
      </c>
      <c r="K40" s="399">
        <f t="shared" si="34"/>
      </c>
      <c r="L40" s="399">
        <f t="shared" si="35"/>
      </c>
      <c r="M40" s="394">
        <f t="shared" si="9"/>
      </c>
      <c r="N40" s="399">
        <f t="shared" si="10"/>
      </c>
      <c r="O40" s="394">
        <f t="shared" si="36"/>
      </c>
      <c r="P40" s="457">
        <f t="shared" si="11"/>
      </c>
      <c r="Q40" s="458"/>
      <c r="R40" s="393">
        <f t="shared" si="12"/>
      </c>
      <c r="S40" s="393">
        <f t="shared" si="13"/>
      </c>
      <c r="T40" s="394">
        <f t="shared" si="14"/>
      </c>
      <c r="U40" s="394">
        <f t="shared" si="15"/>
      </c>
      <c r="V40" s="394">
        <f t="shared" si="16"/>
      </c>
      <c r="W40" s="394">
        <f t="shared" si="17"/>
      </c>
      <c r="X40" s="394">
        <f t="shared" si="37"/>
      </c>
      <c r="Y40" s="395">
        <f t="shared" si="18"/>
      </c>
      <c r="Z40" s="395">
        <f t="shared" si="38"/>
      </c>
      <c r="AA40" s="399">
        <f t="shared" si="39"/>
      </c>
      <c r="AB40" s="399">
        <f t="shared" si="40"/>
      </c>
      <c r="AC40" s="394">
        <f t="shared" si="19"/>
      </c>
      <c r="AD40" s="399">
        <f t="shared" si="20"/>
      </c>
      <c r="AE40" s="394">
        <f t="shared" si="41"/>
      </c>
      <c r="AF40" s="457">
        <f t="shared" si="21"/>
      </c>
      <c r="AG40" s="458"/>
      <c r="AH40" s="393">
        <f t="shared" si="22"/>
      </c>
      <c r="AI40" s="393">
        <f t="shared" si="23"/>
      </c>
      <c r="AJ40" s="394">
        <f t="shared" si="24"/>
      </c>
      <c r="AK40" s="394">
        <f t="shared" si="25"/>
      </c>
      <c r="AL40" s="394">
        <f t="shared" si="26"/>
      </c>
      <c r="AM40" s="394">
        <f t="shared" si="27"/>
      </c>
      <c r="AN40" s="394">
        <f t="shared" si="42"/>
      </c>
      <c r="AO40" s="395">
        <f>IF(AG40="","",($F$7^2*AK40^2)/(2.22*AJ40^1.333))</f>
      </c>
      <c r="AP40" s="395">
        <f t="shared" si="43"/>
      </c>
      <c r="AQ40" s="399">
        <f t="shared" si="44"/>
      </c>
      <c r="AR40" s="399">
        <f t="shared" si="45"/>
      </c>
      <c r="AS40" s="400">
        <f t="shared" si="29"/>
      </c>
      <c r="AT40" s="400">
        <f t="shared" si="30"/>
      </c>
      <c r="AU40" s="400">
        <f t="shared" si="46"/>
      </c>
      <c r="AV40" s="465">
        <f t="shared" si="31"/>
      </c>
    </row>
    <row r="41" spans="1:48" ht="15" customHeight="1">
      <c r="A41" s="458"/>
      <c r="B41" s="393">
        <f t="shared" si="2"/>
      </c>
      <c r="C41" s="393">
        <f t="shared" si="3"/>
      </c>
      <c r="D41" s="394">
        <f t="shared" si="4"/>
      </c>
      <c r="E41" s="394">
        <f t="shared" si="5"/>
      </c>
      <c r="F41" s="394">
        <f t="shared" si="6"/>
      </c>
      <c r="G41" s="394">
        <f t="shared" si="7"/>
      </c>
      <c r="H41" s="394">
        <f t="shared" si="32"/>
      </c>
      <c r="I41" s="395">
        <f t="shared" si="8"/>
      </c>
      <c r="J41" s="395">
        <f t="shared" si="33"/>
      </c>
      <c r="K41" s="399">
        <f t="shared" si="34"/>
      </c>
      <c r="L41" s="399">
        <f t="shared" si="35"/>
      </c>
      <c r="M41" s="394">
        <f t="shared" si="9"/>
      </c>
      <c r="N41" s="399">
        <f t="shared" si="10"/>
      </c>
      <c r="O41" s="394">
        <f t="shared" si="36"/>
      </c>
      <c r="P41" s="457">
        <f t="shared" si="11"/>
      </c>
      <c r="Q41" s="458"/>
      <c r="R41" s="393">
        <f t="shared" si="12"/>
      </c>
      <c r="S41" s="393">
        <f t="shared" si="13"/>
      </c>
      <c r="T41" s="394">
        <f t="shared" si="14"/>
      </c>
      <c r="U41" s="394">
        <f t="shared" si="15"/>
      </c>
      <c r="V41" s="394">
        <f t="shared" si="16"/>
      </c>
      <c r="W41" s="394">
        <f t="shared" si="17"/>
      </c>
      <c r="X41" s="394">
        <f t="shared" si="37"/>
      </c>
      <c r="Y41" s="395">
        <f t="shared" si="18"/>
      </c>
      <c r="Z41" s="395">
        <f t="shared" si="38"/>
      </c>
      <c r="AA41" s="399">
        <f t="shared" si="39"/>
      </c>
      <c r="AB41" s="399">
        <f t="shared" si="40"/>
      </c>
      <c r="AC41" s="394">
        <f t="shared" si="19"/>
      </c>
      <c r="AD41" s="399">
        <f t="shared" si="20"/>
      </c>
      <c r="AE41" s="394">
        <f t="shared" si="41"/>
      </c>
      <c r="AF41" s="457">
        <f t="shared" si="21"/>
      </c>
      <c r="AG41" s="458"/>
      <c r="AH41" s="393">
        <f t="shared" si="22"/>
      </c>
      <c r="AI41" s="393">
        <f t="shared" si="23"/>
      </c>
      <c r="AJ41" s="394">
        <f t="shared" si="24"/>
      </c>
      <c r="AK41" s="394">
        <f t="shared" si="25"/>
      </c>
      <c r="AL41" s="394">
        <f t="shared" si="26"/>
      </c>
      <c r="AM41" s="394">
        <f t="shared" si="27"/>
      </c>
      <c r="AN41" s="394">
        <f t="shared" si="42"/>
      </c>
      <c r="AO41" s="395">
        <f t="shared" si="28"/>
      </c>
      <c r="AP41" s="395">
        <f t="shared" si="43"/>
      </c>
      <c r="AQ41" s="399">
        <f t="shared" si="44"/>
      </c>
      <c r="AR41" s="399">
        <f t="shared" si="45"/>
      </c>
      <c r="AS41" s="400">
        <f t="shared" si="29"/>
      </c>
      <c r="AT41" s="400">
        <f t="shared" si="30"/>
      </c>
      <c r="AU41" s="400">
        <f t="shared" si="46"/>
      </c>
      <c r="AV41" s="465">
        <f t="shared" si="31"/>
      </c>
    </row>
    <row r="42" spans="1:48" ht="15" customHeight="1">
      <c r="A42" s="458"/>
      <c r="B42" s="393">
        <f t="shared" si="2"/>
      </c>
      <c r="C42" s="393">
        <f t="shared" si="3"/>
      </c>
      <c r="D42" s="394">
        <f t="shared" si="4"/>
      </c>
      <c r="E42" s="394">
        <f t="shared" si="5"/>
      </c>
      <c r="F42" s="394">
        <f t="shared" si="6"/>
      </c>
      <c r="G42" s="394">
        <f t="shared" si="7"/>
      </c>
      <c r="H42" s="394">
        <f t="shared" si="32"/>
      </c>
      <c r="I42" s="395">
        <f t="shared" si="8"/>
      </c>
      <c r="J42" s="395">
        <f t="shared" si="33"/>
      </c>
      <c r="K42" s="399">
        <f t="shared" si="34"/>
      </c>
      <c r="L42" s="399">
        <f t="shared" si="35"/>
      </c>
      <c r="M42" s="394">
        <f t="shared" si="9"/>
      </c>
      <c r="N42" s="399">
        <f t="shared" si="10"/>
      </c>
      <c r="O42" s="394">
        <f t="shared" si="36"/>
      </c>
      <c r="P42" s="457">
        <f t="shared" si="11"/>
      </c>
      <c r="Q42" s="458"/>
      <c r="R42" s="393">
        <f t="shared" si="12"/>
      </c>
      <c r="S42" s="393">
        <f t="shared" si="13"/>
      </c>
      <c r="T42" s="394">
        <f t="shared" si="14"/>
      </c>
      <c r="U42" s="394">
        <f t="shared" si="15"/>
      </c>
      <c r="V42" s="394">
        <f t="shared" si="16"/>
      </c>
      <c r="W42" s="394">
        <f t="shared" si="17"/>
      </c>
      <c r="X42" s="394">
        <f t="shared" si="37"/>
      </c>
      <c r="Y42" s="395">
        <f t="shared" si="18"/>
      </c>
      <c r="Z42" s="395">
        <f t="shared" si="38"/>
      </c>
      <c r="AA42" s="399">
        <f t="shared" si="39"/>
      </c>
      <c r="AB42" s="399">
        <f t="shared" si="40"/>
      </c>
      <c r="AC42" s="394">
        <f t="shared" si="19"/>
      </c>
      <c r="AD42" s="399">
        <f t="shared" si="20"/>
      </c>
      <c r="AE42" s="394">
        <f t="shared" si="41"/>
      </c>
      <c r="AF42" s="457">
        <f t="shared" si="21"/>
      </c>
      <c r="AG42" s="458"/>
      <c r="AH42" s="393">
        <f t="shared" si="22"/>
      </c>
      <c r="AI42" s="393">
        <f t="shared" si="23"/>
      </c>
      <c r="AJ42" s="394">
        <f t="shared" si="24"/>
      </c>
      <c r="AK42" s="394">
        <f t="shared" si="25"/>
      </c>
      <c r="AL42" s="394">
        <f t="shared" si="26"/>
      </c>
      <c r="AM42" s="394">
        <f t="shared" si="27"/>
      </c>
      <c r="AN42" s="394">
        <f t="shared" si="42"/>
      </c>
      <c r="AO42" s="395">
        <f t="shared" si="28"/>
      </c>
      <c r="AP42" s="395">
        <f t="shared" si="43"/>
      </c>
      <c r="AQ42" s="399">
        <f t="shared" si="44"/>
      </c>
      <c r="AR42" s="399">
        <f t="shared" si="45"/>
      </c>
      <c r="AS42" s="400">
        <f t="shared" si="29"/>
      </c>
      <c r="AT42" s="400">
        <f t="shared" si="30"/>
      </c>
      <c r="AU42" s="400">
        <f t="shared" si="46"/>
      </c>
      <c r="AV42" s="465">
        <f t="shared" si="31"/>
      </c>
    </row>
    <row r="43" spans="1:48" ht="15" customHeight="1">
      <c r="A43" s="458"/>
      <c r="B43" s="393">
        <f>IF(A43="","",A43*($F$4+($F$5+$F$6)*A43+$F$4)/2)</f>
      </c>
      <c r="C43" s="393">
        <f t="shared" si="3"/>
      </c>
      <c r="D43" s="394">
        <f t="shared" si="4"/>
      </c>
      <c r="E43" s="394">
        <f t="shared" si="5"/>
      </c>
      <c r="F43" s="394">
        <f t="shared" si="6"/>
      </c>
      <c r="G43" s="394">
        <f t="shared" si="7"/>
      </c>
      <c r="H43" s="394">
        <f t="shared" si="32"/>
      </c>
      <c r="I43" s="395">
        <f t="shared" si="8"/>
      </c>
      <c r="J43" s="395">
        <f t="shared" si="33"/>
      </c>
      <c r="K43" s="399">
        <f t="shared" si="34"/>
      </c>
      <c r="L43" s="399">
        <f t="shared" si="35"/>
      </c>
      <c r="M43" s="394">
        <f t="shared" si="9"/>
      </c>
      <c r="N43" s="399">
        <f t="shared" si="10"/>
      </c>
      <c r="O43" s="394">
        <f t="shared" si="36"/>
      </c>
      <c r="P43" s="457">
        <f t="shared" si="11"/>
      </c>
      <c r="Q43" s="458"/>
      <c r="R43" s="393">
        <f t="shared" si="12"/>
      </c>
      <c r="S43" s="393">
        <f t="shared" si="13"/>
      </c>
      <c r="T43" s="394">
        <f t="shared" si="14"/>
      </c>
      <c r="U43" s="394">
        <f t="shared" si="15"/>
      </c>
      <c r="V43" s="394">
        <f t="shared" si="16"/>
      </c>
      <c r="W43" s="394">
        <f t="shared" si="17"/>
      </c>
      <c r="X43" s="394">
        <f t="shared" si="37"/>
      </c>
      <c r="Y43" s="395">
        <f t="shared" si="18"/>
      </c>
      <c r="Z43" s="395">
        <f t="shared" si="38"/>
      </c>
      <c r="AA43" s="399">
        <f t="shared" si="39"/>
      </c>
      <c r="AB43" s="399">
        <f t="shared" si="40"/>
      </c>
      <c r="AC43" s="394">
        <f t="shared" si="19"/>
      </c>
      <c r="AD43" s="399">
        <f t="shared" si="20"/>
      </c>
      <c r="AE43" s="394">
        <f t="shared" si="41"/>
      </c>
      <c r="AF43" s="457">
        <f t="shared" si="21"/>
      </c>
      <c r="AG43" s="458"/>
      <c r="AH43" s="393">
        <f t="shared" si="22"/>
      </c>
      <c r="AI43" s="393">
        <f t="shared" si="23"/>
      </c>
      <c r="AJ43" s="394">
        <f t="shared" si="24"/>
      </c>
      <c r="AK43" s="394">
        <f t="shared" si="25"/>
      </c>
      <c r="AL43" s="394">
        <f t="shared" si="26"/>
      </c>
      <c r="AM43" s="394">
        <f t="shared" si="27"/>
      </c>
      <c r="AN43" s="394">
        <f t="shared" si="42"/>
      </c>
      <c r="AO43" s="395">
        <f t="shared" si="28"/>
      </c>
      <c r="AP43" s="395">
        <f t="shared" si="43"/>
      </c>
      <c r="AQ43" s="399">
        <f t="shared" si="44"/>
      </c>
      <c r="AR43" s="399">
        <f t="shared" si="45"/>
      </c>
      <c r="AS43" s="400">
        <f t="shared" si="29"/>
      </c>
      <c r="AT43" s="400">
        <f t="shared" si="30"/>
      </c>
      <c r="AU43" s="400">
        <f t="shared" si="46"/>
      </c>
      <c r="AV43" s="465">
        <f t="shared" si="31"/>
      </c>
    </row>
    <row r="44" spans="1:48" ht="15" customHeight="1">
      <c r="A44" s="458"/>
      <c r="B44" s="393">
        <f t="shared" si="2"/>
      </c>
      <c r="C44" s="393">
        <f t="shared" si="3"/>
      </c>
      <c r="D44" s="394">
        <f t="shared" si="4"/>
      </c>
      <c r="E44" s="394">
        <f t="shared" si="5"/>
      </c>
      <c r="F44" s="394">
        <f t="shared" si="6"/>
      </c>
      <c r="G44" s="394">
        <f t="shared" si="7"/>
      </c>
      <c r="H44" s="394">
        <f t="shared" si="32"/>
      </c>
      <c r="I44" s="395">
        <f t="shared" si="8"/>
      </c>
      <c r="J44" s="395">
        <f t="shared" si="33"/>
      </c>
      <c r="K44" s="399">
        <f t="shared" si="34"/>
      </c>
      <c r="L44" s="399">
        <f t="shared" si="35"/>
      </c>
      <c r="M44" s="394">
        <f t="shared" si="9"/>
      </c>
      <c r="N44" s="399">
        <f t="shared" si="10"/>
      </c>
      <c r="O44" s="394">
        <f t="shared" si="36"/>
      </c>
      <c r="P44" s="457">
        <f t="shared" si="11"/>
      </c>
      <c r="Q44" s="458"/>
      <c r="R44" s="393">
        <f t="shared" si="12"/>
      </c>
      <c r="S44" s="393">
        <f t="shared" si="13"/>
      </c>
      <c r="T44" s="394">
        <f t="shared" si="14"/>
      </c>
      <c r="U44" s="394">
        <f t="shared" si="15"/>
      </c>
      <c r="V44" s="394">
        <f t="shared" si="16"/>
      </c>
      <c r="W44" s="394">
        <f t="shared" si="17"/>
      </c>
      <c r="X44" s="394">
        <f t="shared" si="37"/>
      </c>
      <c r="Y44" s="395">
        <f t="shared" si="18"/>
      </c>
      <c r="Z44" s="395">
        <f t="shared" si="38"/>
      </c>
      <c r="AA44" s="399">
        <f t="shared" si="39"/>
      </c>
      <c r="AB44" s="399">
        <f t="shared" si="40"/>
      </c>
      <c r="AC44" s="394">
        <f t="shared" si="19"/>
      </c>
      <c r="AD44" s="399">
        <f t="shared" si="20"/>
      </c>
      <c r="AE44" s="394">
        <f t="shared" si="41"/>
      </c>
      <c r="AF44" s="457">
        <f t="shared" si="21"/>
      </c>
      <c r="AG44" s="458"/>
      <c r="AH44" s="393">
        <f t="shared" si="22"/>
      </c>
      <c r="AI44" s="393">
        <f t="shared" si="23"/>
      </c>
      <c r="AJ44" s="394">
        <f t="shared" si="24"/>
      </c>
      <c r="AK44" s="394">
        <f t="shared" si="25"/>
      </c>
      <c r="AL44" s="394">
        <f t="shared" si="26"/>
      </c>
      <c r="AM44" s="394">
        <f t="shared" si="27"/>
      </c>
      <c r="AN44" s="394">
        <f t="shared" si="42"/>
      </c>
      <c r="AO44" s="395">
        <f t="shared" si="28"/>
      </c>
      <c r="AP44" s="395">
        <f t="shared" si="43"/>
      </c>
      <c r="AQ44" s="399">
        <f t="shared" si="44"/>
      </c>
      <c r="AR44" s="399">
        <f t="shared" si="45"/>
      </c>
      <c r="AS44" s="400">
        <f t="shared" si="29"/>
      </c>
      <c r="AT44" s="400">
        <f t="shared" si="30"/>
      </c>
      <c r="AU44" s="400">
        <f t="shared" si="46"/>
      </c>
      <c r="AV44" s="465">
        <f t="shared" si="31"/>
      </c>
    </row>
    <row r="45" spans="1:48" ht="15" customHeight="1">
      <c r="A45" s="458"/>
      <c r="B45" s="393">
        <f t="shared" si="2"/>
      </c>
      <c r="C45" s="393">
        <f t="shared" si="3"/>
      </c>
      <c r="D45" s="394">
        <f t="shared" si="4"/>
      </c>
      <c r="E45" s="394">
        <f t="shared" si="5"/>
      </c>
      <c r="F45" s="394">
        <f t="shared" si="6"/>
      </c>
      <c r="G45" s="394">
        <f t="shared" si="7"/>
      </c>
      <c r="H45" s="394">
        <f t="shared" si="32"/>
      </c>
      <c r="I45" s="395">
        <f t="shared" si="8"/>
      </c>
      <c r="J45" s="395">
        <f t="shared" si="33"/>
      </c>
      <c r="K45" s="399">
        <f t="shared" si="34"/>
      </c>
      <c r="L45" s="399">
        <f t="shared" si="35"/>
      </c>
      <c r="M45" s="394">
        <f t="shared" si="9"/>
      </c>
      <c r="N45" s="399">
        <f t="shared" si="10"/>
      </c>
      <c r="O45" s="394">
        <f t="shared" si="36"/>
      </c>
      <c r="P45" s="457">
        <f t="shared" si="11"/>
      </c>
      <c r="Q45" s="458"/>
      <c r="R45" s="393">
        <f t="shared" si="12"/>
      </c>
      <c r="S45" s="393">
        <f t="shared" si="13"/>
      </c>
      <c r="T45" s="394">
        <f t="shared" si="14"/>
      </c>
      <c r="U45" s="394">
        <f t="shared" si="15"/>
      </c>
      <c r="V45" s="394">
        <f t="shared" si="16"/>
      </c>
      <c r="W45" s="394">
        <f t="shared" si="17"/>
      </c>
      <c r="X45" s="394">
        <f t="shared" si="37"/>
      </c>
      <c r="Y45" s="395">
        <f t="shared" si="18"/>
      </c>
      <c r="Z45" s="395">
        <f t="shared" si="38"/>
      </c>
      <c r="AA45" s="399">
        <f t="shared" si="39"/>
      </c>
      <c r="AB45" s="399">
        <f t="shared" si="40"/>
      </c>
      <c r="AC45" s="394">
        <f t="shared" si="19"/>
      </c>
      <c r="AD45" s="399">
        <f t="shared" si="20"/>
      </c>
      <c r="AE45" s="394">
        <f t="shared" si="41"/>
      </c>
      <c r="AF45" s="457">
        <f t="shared" si="21"/>
      </c>
      <c r="AG45" s="458"/>
      <c r="AH45" s="393">
        <f t="shared" si="22"/>
      </c>
      <c r="AI45" s="393">
        <f t="shared" si="23"/>
      </c>
      <c r="AJ45" s="394">
        <f t="shared" si="24"/>
      </c>
      <c r="AK45" s="394">
        <f t="shared" si="25"/>
      </c>
      <c r="AL45" s="394">
        <f t="shared" si="26"/>
      </c>
      <c r="AM45" s="394">
        <f t="shared" si="27"/>
      </c>
      <c r="AN45" s="394">
        <f t="shared" si="42"/>
      </c>
      <c r="AO45" s="395">
        <f t="shared" si="28"/>
      </c>
      <c r="AP45" s="395">
        <f t="shared" si="43"/>
      </c>
      <c r="AQ45" s="399">
        <f t="shared" si="44"/>
      </c>
      <c r="AR45" s="399">
        <f t="shared" si="45"/>
      </c>
      <c r="AS45" s="400">
        <f t="shared" si="29"/>
      </c>
      <c r="AT45" s="400">
        <f t="shared" si="30"/>
      </c>
      <c r="AU45" s="400">
        <f t="shared" si="46"/>
      </c>
      <c r="AV45" s="465">
        <f t="shared" si="31"/>
      </c>
    </row>
    <row r="46" spans="1:48" ht="15" customHeight="1">
      <c r="A46" s="458"/>
      <c r="B46" s="393">
        <f t="shared" si="2"/>
      </c>
      <c r="C46" s="393">
        <f t="shared" si="3"/>
      </c>
      <c r="D46" s="394">
        <f t="shared" si="4"/>
      </c>
      <c r="E46" s="394">
        <f t="shared" si="5"/>
      </c>
      <c r="F46" s="394">
        <f t="shared" si="6"/>
      </c>
      <c r="G46" s="394">
        <f t="shared" si="7"/>
      </c>
      <c r="H46" s="394">
        <f t="shared" si="32"/>
      </c>
      <c r="I46" s="395">
        <f t="shared" si="8"/>
      </c>
      <c r="J46" s="395">
        <f t="shared" si="33"/>
      </c>
      <c r="K46" s="399">
        <f t="shared" si="34"/>
      </c>
      <c r="L46" s="399">
        <f t="shared" si="35"/>
      </c>
      <c r="M46" s="394">
        <f t="shared" si="9"/>
      </c>
      <c r="N46" s="399">
        <f t="shared" si="10"/>
      </c>
      <c r="O46" s="394">
        <f t="shared" si="36"/>
      </c>
      <c r="P46" s="457">
        <f t="shared" si="11"/>
      </c>
      <c r="Q46" s="458"/>
      <c r="R46" s="393">
        <f t="shared" si="12"/>
      </c>
      <c r="S46" s="393">
        <f t="shared" si="13"/>
      </c>
      <c r="T46" s="394">
        <f t="shared" si="14"/>
      </c>
      <c r="U46" s="394">
        <f t="shared" si="15"/>
      </c>
      <c r="V46" s="394">
        <f t="shared" si="16"/>
      </c>
      <c r="W46" s="394">
        <f t="shared" si="17"/>
      </c>
      <c r="X46" s="394">
        <f t="shared" si="37"/>
      </c>
      <c r="Y46" s="395">
        <f t="shared" si="18"/>
      </c>
      <c r="Z46" s="395">
        <f t="shared" si="38"/>
      </c>
      <c r="AA46" s="399">
        <f t="shared" si="39"/>
      </c>
      <c r="AB46" s="399">
        <f t="shared" si="40"/>
      </c>
      <c r="AC46" s="394">
        <f t="shared" si="19"/>
      </c>
      <c r="AD46" s="399">
        <f t="shared" si="20"/>
      </c>
      <c r="AE46" s="394">
        <f t="shared" si="41"/>
      </c>
      <c r="AF46" s="457">
        <f t="shared" si="21"/>
      </c>
      <c r="AG46" s="458"/>
      <c r="AH46" s="393">
        <f t="shared" si="22"/>
      </c>
      <c r="AI46" s="393">
        <f t="shared" si="23"/>
      </c>
      <c r="AJ46" s="394">
        <f t="shared" si="24"/>
      </c>
      <c r="AK46" s="394">
        <f t="shared" si="25"/>
      </c>
      <c r="AL46" s="394">
        <f t="shared" si="26"/>
      </c>
      <c r="AM46" s="394">
        <f t="shared" si="27"/>
      </c>
      <c r="AN46" s="394">
        <f t="shared" si="42"/>
      </c>
      <c r="AO46" s="395">
        <f t="shared" si="28"/>
      </c>
      <c r="AP46" s="395">
        <f t="shared" si="43"/>
      </c>
      <c r="AQ46" s="399">
        <f t="shared" si="44"/>
      </c>
      <c r="AR46" s="399">
        <f t="shared" si="45"/>
      </c>
      <c r="AS46" s="400">
        <f t="shared" si="29"/>
      </c>
      <c r="AT46" s="400">
        <f t="shared" si="30"/>
      </c>
      <c r="AU46" s="400">
        <f t="shared" si="46"/>
      </c>
      <c r="AV46" s="465">
        <f t="shared" si="31"/>
      </c>
    </row>
    <row r="47" spans="1:48" ht="15" customHeight="1">
      <c r="A47" s="458"/>
      <c r="B47" s="393">
        <f t="shared" si="2"/>
      </c>
      <c r="C47" s="393">
        <f t="shared" si="3"/>
      </c>
      <c r="D47" s="394">
        <f t="shared" si="4"/>
      </c>
      <c r="E47" s="394">
        <f t="shared" si="5"/>
      </c>
      <c r="F47" s="394">
        <f t="shared" si="6"/>
      </c>
      <c r="G47" s="394">
        <f t="shared" si="7"/>
      </c>
      <c r="H47" s="394">
        <f t="shared" si="32"/>
      </c>
      <c r="I47" s="395">
        <f t="shared" si="8"/>
      </c>
      <c r="J47" s="395">
        <f t="shared" si="33"/>
      </c>
      <c r="K47" s="399">
        <f t="shared" si="34"/>
      </c>
      <c r="L47" s="399">
        <f t="shared" si="35"/>
      </c>
      <c r="M47" s="394">
        <f t="shared" si="9"/>
      </c>
      <c r="N47" s="399">
        <f t="shared" si="10"/>
      </c>
      <c r="O47" s="394">
        <f t="shared" si="36"/>
      </c>
      <c r="P47" s="457">
        <f t="shared" si="11"/>
      </c>
      <c r="Q47" s="458"/>
      <c r="R47" s="393">
        <f t="shared" si="12"/>
      </c>
      <c r="S47" s="393">
        <f t="shared" si="13"/>
      </c>
      <c r="T47" s="394">
        <f t="shared" si="14"/>
      </c>
      <c r="U47" s="394">
        <f t="shared" si="15"/>
      </c>
      <c r="V47" s="394">
        <f t="shared" si="16"/>
      </c>
      <c r="W47" s="394">
        <f t="shared" si="17"/>
      </c>
      <c r="X47" s="394">
        <f t="shared" si="37"/>
      </c>
      <c r="Y47" s="395">
        <f t="shared" si="18"/>
      </c>
      <c r="Z47" s="395">
        <f t="shared" si="38"/>
      </c>
      <c r="AA47" s="399">
        <f t="shared" si="39"/>
      </c>
      <c r="AB47" s="399">
        <f t="shared" si="40"/>
      </c>
      <c r="AC47" s="394">
        <f t="shared" si="19"/>
      </c>
      <c r="AD47" s="399">
        <f t="shared" si="20"/>
      </c>
      <c r="AE47" s="394">
        <f t="shared" si="41"/>
      </c>
      <c r="AF47" s="457">
        <f t="shared" si="21"/>
      </c>
      <c r="AG47" s="458"/>
      <c r="AH47" s="393">
        <f t="shared" si="22"/>
      </c>
      <c r="AI47" s="393">
        <f t="shared" si="23"/>
      </c>
      <c r="AJ47" s="394">
        <f t="shared" si="24"/>
      </c>
      <c r="AK47" s="394">
        <f t="shared" si="25"/>
      </c>
      <c r="AL47" s="394">
        <f t="shared" si="26"/>
      </c>
      <c r="AM47" s="394">
        <f t="shared" si="27"/>
      </c>
      <c r="AN47" s="394">
        <f t="shared" si="42"/>
      </c>
      <c r="AO47" s="395">
        <f t="shared" si="28"/>
      </c>
      <c r="AP47" s="395">
        <f t="shared" si="43"/>
      </c>
      <c r="AQ47" s="399">
        <f t="shared" si="44"/>
      </c>
      <c r="AR47" s="399">
        <f t="shared" si="45"/>
      </c>
      <c r="AS47" s="400">
        <f t="shared" si="29"/>
      </c>
      <c r="AT47" s="400">
        <f t="shared" si="30"/>
      </c>
      <c r="AU47" s="400">
        <f t="shared" si="46"/>
      </c>
      <c r="AV47" s="465">
        <f t="shared" si="31"/>
      </c>
    </row>
    <row r="48" spans="1:48" ht="15" customHeight="1">
      <c r="A48" s="458"/>
      <c r="B48" s="393">
        <f t="shared" si="2"/>
      </c>
      <c r="C48" s="393">
        <f t="shared" si="3"/>
      </c>
      <c r="D48" s="394">
        <f t="shared" si="4"/>
      </c>
      <c r="E48" s="394">
        <f t="shared" si="5"/>
      </c>
      <c r="F48" s="394">
        <f t="shared" si="6"/>
      </c>
      <c r="G48" s="394">
        <f t="shared" si="7"/>
      </c>
      <c r="H48" s="394">
        <f t="shared" si="32"/>
      </c>
      <c r="I48" s="395">
        <f t="shared" si="8"/>
      </c>
      <c r="J48" s="395">
        <f t="shared" si="33"/>
      </c>
      <c r="K48" s="399">
        <f t="shared" si="34"/>
      </c>
      <c r="L48" s="399">
        <f t="shared" si="35"/>
      </c>
      <c r="M48" s="394">
        <f t="shared" si="9"/>
      </c>
      <c r="N48" s="399">
        <f t="shared" si="10"/>
      </c>
      <c r="O48" s="394">
        <f t="shared" si="36"/>
      </c>
      <c r="P48" s="457">
        <f t="shared" si="11"/>
      </c>
      <c r="Q48" s="458"/>
      <c r="R48" s="393">
        <f t="shared" si="12"/>
      </c>
      <c r="S48" s="393">
        <f t="shared" si="13"/>
      </c>
      <c r="T48" s="394">
        <f t="shared" si="14"/>
      </c>
      <c r="U48" s="394">
        <f t="shared" si="15"/>
      </c>
      <c r="V48" s="394">
        <f t="shared" si="16"/>
      </c>
      <c r="W48" s="394">
        <f t="shared" si="17"/>
      </c>
      <c r="X48" s="394">
        <f t="shared" si="37"/>
      </c>
      <c r="Y48" s="395">
        <f t="shared" si="18"/>
      </c>
      <c r="Z48" s="395">
        <f t="shared" si="38"/>
      </c>
      <c r="AA48" s="399">
        <f t="shared" si="39"/>
      </c>
      <c r="AB48" s="399">
        <f t="shared" si="40"/>
      </c>
      <c r="AC48" s="394">
        <f t="shared" si="19"/>
      </c>
      <c r="AD48" s="399">
        <f t="shared" si="20"/>
      </c>
      <c r="AE48" s="394">
        <f t="shared" si="41"/>
      </c>
      <c r="AF48" s="457">
        <f t="shared" si="21"/>
      </c>
      <c r="AG48" s="458"/>
      <c r="AH48" s="393">
        <f t="shared" si="22"/>
      </c>
      <c r="AI48" s="393">
        <f t="shared" si="23"/>
      </c>
      <c r="AJ48" s="394">
        <f t="shared" si="24"/>
      </c>
      <c r="AK48" s="394">
        <f t="shared" si="25"/>
      </c>
      <c r="AL48" s="394">
        <f t="shared" si="26"/>
      </c>
      <c r="AM48" s="394">
        <f t="shared" si="27"/>
      </c>
      <c r="AN48" s="394">
        <f t="shared" si="42"/>
      </c>
      <c r="AO48" s="395">
        <f t="shared" si="28"/>
      </c>
      <c r="AP48" s="395">
        <f t="shared" si="43"/>
      </c>
      <c r="AQ48" s="399">
        <f t="shared" si="44"/>
      </c>
      <c r="AR48" s="399">
        <f t="shared" si="45"/>
      </c>
      <c r="AS48" s="400">
        <f t="shared" si="29"/>
      </c>
      <c r="AT48" s="400">
        <f t="shared" si="30"/>
      </c>
      <c r="AU48" s="400">
        <f t="shared" si="46"/>
      </c>
      <c r="AV48" s="465">
        <f t="shared" si="31"/>
      </c>
    </row>
    <row r="49" spans="1:48" ht="15" customHeight="1">
      <c r="A49" s="458"/>
      <c r="B49" s="393">
        <f t="shared" si="2"/>
      </c>
      <c r="C49" s="393">
        <f t="shared" si="3"/>
      </c>
      <c r="D49" s="394">
        <f t="shared" si="4"/>
      </c>
      <c r="E49" s="394">
        <f t="shared" si="5"/>
      </c>
      <c r="F49" s="394">
        <f t="shared" si="6"/>
      </c>
      <c r="G49" s="394">
        <f t="shared" si="7"/>
      </c>
      <c r="H49" s="394">
        <f t="shared" si="32"/>
      </c>
      <c r="I49" s="395">
        <f t="shared" si="8"/>
      </c>
      <c r="J49" s="395">
        <f t="shared" si="33"/>
      </c>
      <c r="K49" s="399">
        <f t="shared" si="34"/>
      </c>
      <c r="L49" s="399">
        <f t="shared" si="35"/>
      </c>
      <c r="M49" s="394">
        <f t="shared" si="9"/>
      </c>
      <c r="N49" s="399">
        <f t="shared" si="10"/>
      </c>
      <c r="O49" s="394">
        <f t="shared" si="36"/>
      </c>
      <c r="P49" s="457">
        <f t="shared" si="11"/>
      </c>
      <c r="Q49" s="458"/>
      <c r="R49" s="393">
        <f t="shared" si="12"/>
      </c>
      <c r="S49" s="393">
        <f t="shared" si="13"/>
      </c>
      <c r="T49" s="394">
        <f t="shared" si="14"/>
      </c>
      <c r="U49" s="394">
        <f t="shared" si="15"/>
      </c>
      <c r="V49" s="394">
        <f t="shared" si="16"/>
      </c>
      <c r="W49" s="394">
        <f t="shared" si="17"/>
      </c>
      <c r="X49" s="394">
        <f t="shared" si="37"/>
      </c>
      <c r="Y49" s="395">
        <f t="shared" si="18"/>
      </c>
      <c r="Z49" s="395">
        <f t="shared" si="38"/>
      </c>
      <c r="AA49" s="399">
        <f t="shared" si="39"/>
      </c>
      <c r="AB49" s="399">
        <f t="shared" si="40"/>
      </c>
      <c r="AC49" s="394">
        <f t="shared" si="19"/>
      </c>
      <c r="AD49" s="399">
        <f t="shared" si="20"/>
      </c>
      <c r="AE49" s="394">
        <f t="shared" si="41"/>
      </c>
      <c r="AF49" s="457">
        <f t="shared" si="21"/>
      </c>
      <c r="AG49" s="458"/>
      <c r="AH49" s="393">
        <f t="shared" si="22"/>
      </c>
      <c r="AI49" s="393">
        <f t="shared" si="23"/>
      </c>
      <c r="AJ49" s="394">
        <f t="shared" si="24"/>
      </c>
      <c r="AK49" s="394">
        <f t="shared" si="25"/>
      </c>
      <c r="AL49" s="394">
        <f t="shared" si="26"/>
      </c>
      <c r="AM49" s="394">
        <f t="shared" si="27"/>
      </c>
      <c r="AN49" s="394">
        <f t="shared" si="42"/>
      </c>
      <c r="AO49" s="395">
        <f t="shared" si="28"/>
      </c>
      <c r="AP49" s="395">
        <f t="shared" si="43"/>
      </c>
      <c r="AQ49" s="399">
        <f t="shared" si="44"/>
      </c>
      <c r="AR49" s="399">
        <f t="shared" si="45"/>
      </c>
      <c r="AS49" s="400">
        <f t="shared" si="29"/>
      </c>
      <c r="AT49" s="400">
        <f t="shared" si="30"/>
      </c>
      <c r="AU49" s="400">
        <f t="shared" si="46"/>
      </c>
      <c r="AV49" s="465">
        <f t="shared" si="31"/>
      </c>
    </row>
    <row r="50" spans="1:48" ht="15" customHeight="1">
      <c r="A50" s="458"/>
      <c r="B50" s="393">
        <f t="shared" si="2"/>
      </c>
      <c r="C50" s="393">
        <f t="shared" si="3"/>
      </c>
      <c r="D50" s="394">
        <f t="shared" si="4"/>
      </c>
      <c r="E50" s="394">
        <f t="shared" si="5"/>
      </c>
      <c r="F50" s="394">
        <f t="shared" si="6"/>
      </c>
      <c r="G50" s="394">
        <f t="shared" si="7"/>
      </c>
      <c r="H50" s="394">
        <f t="shared" si="32"/>
      </c>
      <c r="I50" s="395">
        <f t="shared" si="8"/>
      </c>
      <c r="J50" s="395">
        <f t="shared" si="33"/>
      </c>
      <c r="K50" s="399">
        <f t="shared" si="34"/>
      </c>
      <c r="L50" s="399">
        <f t="shared" si="35"/>
      </c>
      <c r="M50" s="394">
        <f t="shared" si="9"/>
      </c>
      <c r="N50" s="399">
        <f t="shared" si="10"/>
      </c>
      <c r="O50" s="394">
        <f t="shared" si="36"/>
      </c>
      <c r="P50" s="457">
        <f t="shared" si="11"/>
      </c>
      <c r="Q50" s="458"/>
      <c r="R50" s="393">
        <f t="shared" si="12"/>
      </c>
      <c r="S50" s="393">
        <f t="shared" si="13"/>
      </c>
      <c r="T50" s="394">
        <f t="shared" si="14"/>
      </c>
      <c r="U50" s="394">
        <f t="shared" si="15"/>
      </c>
      <c r="V50" s="394">
        <f t="shared" si="16"/>
      </c>
      <c r="W50" s="394">
        <f t="shared" si="17"/>
      </c>
      <c r="X50" s="394">
        <f t="shared" si="37"/>
      </c>
      <c r="Y50" s="395">
        <f t="shared" si="18"/>
      </c>
      <c r="Z50" s="395">
        <f t="shared" si="38"/>
      </c>
      <c r="AA50" s="399">
        <f t="shared" si="39"/>
      </c>
      <c r="AB50" s="399">
        <f t="shared" si="40"/>
      </c>
      <c r="AC50" s="394">
        <f t="shared" si="19"/>
      </c>
      <c r="AD50" s="399">
        <f t="shared" si="20"/>
      </c>
      <c r="AE50" s="394">
        <f t="shared" si="41"/>
      </c>
      <c r="AF50" s="457">
        <f t="shared" si="21"/>
      </c>
      <c r="AG50" s="458"/>
      <c r="AH50" s="393">
        <f t="shared" si="22"/>
      </c>
      <c r="AI50" s="393">
        <f t="shared" si="23"/>
      </c>
      <c r="AJ50" s="394">
        <f t="shared" si="24"/>
      </c>
      <c r="AK50" s="394">
        <f t="shared" si="25"/>
      </c>
      <c r="AL50" s="394">
        <f t="shared" si="26"/>
      </c>
      <c r="AM50" s="394">
        <f t="shared" si="27"/>
      </c>
      <c r="AN50" s="394">
        <f t="shared" si="42"/>
      </c>
      <c r="AO50" s="395">
        <f t="shared" si="28"/>
      </c>
      <c r="AP50" s="395">
        <f t="shared" si="43"/>
      </c>
      <c r="AQ50" s="399">
        <f t="shared" si="44"/>
      </c>
      <c r="AR50" s="399">
        <f t="shared" si="45"/>
      </c>
      <c r="AS50" s="400">
        <f t="shared" si="29"/>
      </c>
      <c r="AT50" s="400">
        <f t="shared" si="30"/>
      </c>
      <c r="AU50" s="400">
        <f t="shared" si="46"/>
      </c>
      <c r="AV50" s="465">
        <f t="shared" si="31"/>
      </c>
    </row>
    <row r="51" spans="1:48" ht="15" customHeight="1">
      <c r="A51" s="458"/>
      <c r="B51" s="393">
        <f t="shared" si="2"/>
      </c>
      <c r="C51" s="393">
        <f t="shared" si="3"/>
      </c>
      <c r="D51" s="394">
        <f t="shared" si="4"/>
      </c>
      <c r="E51" s="394">
        <f t="shared" si="5"/>
      </c>
      <c r="F51" s="394">
        <f t="shared" si="6"/>
      </c>
      <c r="G51" s="394">
        <f t="shared" si="7"/>
      </c>
      <c r="H51" s="394">
        <f t="shared" si="32"/>
      </c>
      <c r="I51" s="395">
        <f t="shared" si="8"/>
      </c>
      <c r="J51" s="395">
        <f t="shared" si="33"/>
      </c>
      <c r="K51" s="399">
        <f t="shared" si="34"/>
      </c>
      <c r="L51" s="399">
        <f t="shared" si="35"/>
      </c>
      <c r="M51" s="394">
        <f t="shared" si="9"/>
      </c>
      <c r="N51" s="399">
        <f t="shared" si="10"/>
      </c>
      <c r="O51" s="394">
        <f t="shared" si="36"/>
      </c>
      <c r="P51" s="457">
        <f t="shared" si="11"/>
      </c>
      <c r="Q51" s="458"/>
      <c r="R51" s="393">
        <f t="shared" si="12"/>
      </c>
      <c r="S51" s="393">
        <f t="shared" si="13"/>
      </c>
      <c r="T51" s="394">
        <f t="shared" si="14"/>
      </c>
      <c r="U51" s="394">
        <f t="shared" si="15"/>
      </c>
      <c r="V51" s="394">
        <f t="shared" si="16"/>
      </c>
      <c r="W51" s="394">
        <f t="shared" si="17"/>
      </c>
      <c r="X51" s="394">
        <f t="shared" si="37"/>
      </c>
      <c r="Y51" s="395">
        <f t="shared" si="18"/>
      </c>
      <c r="Z51" s="395">
        <f t="shared" si="38"/>
      </c>
      <c r="AA51" s="399">
        <f t="shared" si="39"/>
      </c>
      <c r="AB51" s="399">
        <f t="shared" si="40"/>
      </c>
      <c r="AC51" s="394">
        <f t="shared" si="19"/>
      </c>
      <c r="AD51" s="399">
        <f t="shared" si="20"/>
      </c>
      <c r="AE51" s="394">
        <f t="shared" si="41"/>
      </c>
      <c r="AF51" s="457">
        <f t="shared" si="21"/>
      </c>
      <c r="AG51" s="458"/>
      <c r="AH51" s="393">
        <f t="shared" si="22"/>
      </c>
      <c r="AI51" s="393">
        <f t="shared" si="23"/>
      </c>
      <c r="AJ51" s="394">
        <f t="shared" si="24"/>
      </c>
      <c r="AK51" s="394">
        <f t="shared" si="25"/>
      </c>
      <c r="AL51" s="394">
        <f t="shared" si="26"/>
      </c>
      <c r="AM51" s="394">
        <f t="shared" si="27"/>
      </c>
      <c r="AN51" s="394">
        <f t="shared" si="42"/>
      </c>
      <c r="AO51" s="395">
        <f t="shared" si="28"/>
      </c>
      <c r="AP51" s="395">
        <f t="shared" si="43"/>
      </c>
      <c r="AQ51" s="399">
        <f t="shared" si="44"/>
      </c>
      <c r="AR51" s="399">
        <f t="shared" si="45"/>
      </c>
      <c r="AS51" s="400">
        <f t="shared" si="29"/>
      </c>
      <c r="AT51" s="400">
        <f t="shared" si="30"/>
      </c>
      <c r="AU51" s="400">
        <f t="shared" si="46"/>
      </c>
      <c r="AV51" s="465">
        <f t="shared" si="31"/>
      </c>
    </row>
    <row r="52" spans="1:48" ht="15" customHeight="1">
      <c r="A52" s="458"/>
      <c r="B52" s="393">
        <f t="shared" si="2"/>
      </c>
      <c r="C52" s="393">
        <f t="shared" si="3"/>
      </c>
      <c r="D52" s="394">
        <f t="shared" si="4"/>
      </c>
      <c r="E52" s="394">
        <f t="shared" si="5"/>
      </c>
      <c r="F52" s="394">
        <f t="shared" si="6"/>
      </c>
      <c r="G52" s="394">
        <f t="shared" si="7"/>
      </c>
      <c r="H52" s="394">
        <f t="shared" si="32"/>
      </c>
      <c r="I52" s="395">
        <f t="shared" si="8"/>
      </c>
      <c r="J52" s="395">
        <f t="shared" si="33"/>
      </c>
      <c r="K52" s="399">
        <f t="shared" si="34"/>
      </c>
      <c r="L52" s="399">
        <f t="shared" si="35"/>
      </c>
      <c r="M52" s="394">
        <f t="shared" si="9"/>
      </c>
      <c r="N52" s="399">
        <f t="shared" si="10"/>
      </c>
      <c r="O52" s="394">
        <f t="shared" si="36"/>
      </c>
      <c r="P52" s="457">
        <f t="shared" si="11"/>
      </c>
      <c r="Q52" s="458"/>
      <c r="R52" s="393">
        <f t="shared" si="12"/>
      </c>
      <c r="S52" s="393">
        <f t="shared" si="13"/>
      </c>
      <c r="T52" s="394">
        <f t="shared" si="14"/>
      </c>
      <c r="U52" s="394">
        <f t="shared" si="15"/>
      </c>
      <c r="V52" s="394">
        <f t="shared" si="16"/>
      </c>
      <c r="W52" s="394">
        <f t="shared" si="17"/>
      </c>
      <c r="X52" s="394">
        <f t="shared" si="37"/>
      </c>
      <c r="Y52" s="395">
        <f t="shared" si="18"/>
      </c>
      <c r="Z52" s="395">
        <f t="shared" si="38"/>
      </c>
      <c r="AA52" s="399">
        <f t="shared" si="39"/>
      </c>
      <c r="AB52" s="399">
        <f t="shared" si="40"/>
      </c>
      <c r="AC52" s="394">
        <f t="shared" si="19"/>
      </c>
      <c r="AD52" s="399">
        <f t="shared" si="20"/>
      </c>
      <c r="AE52" s="394">
        <f t="shared" si="41"/>
      </c>
      <c r="AF52" s="457">
        <f t="shared" si="21"/>
      </c>
      <c r="AG52" s="458"/>
      <c r="AH52" s="393">
        <f t="shared" si="22"/>
      </c>
      <c r="AI52" s="393">
        <f t="shared" si="23"/>
      </c>
      <c r="AJ52" s="394">
        <f t="shared" si="24"/>
      </c>
      <c r="AK52" s="394">
        <f t="shared" si="25"/>
      </c>
      <c r="AL52" s="394">
        <f t="shared" si="26"/>
      </c>
      <c r="AM52" s="394">
        <f t="shared" si="27"/>
      </c>
      <c r="AN52" s="394">
        <f t="shared" si="42"/>
      </c>
      <c r="AO52" s="395">
        <f t="shared" si="28"/>
      </c>
      <c r="AP52" s="395">
        <f t="shared" si="43"/>
      </c>
      <c r="AQ52" s="399">
        <f t="shared" si="44"/>
      </c>
      <c r="AR52" s="399">
        <f t="shared" si="45"/>
      </c>
      <c r="AS52" s="400">
        <f t="shared" si="29"/>
      </c>
      <c r="AT52" s="400">
        <f t="shared" si="30"/>
      </c>
      <c r="AU52" s="400">
        <f t="shared" si="46"/>
      </c>
      <c r="AV52" s="465">
        <f t="shared" si="31"/>
      </c>
    </row>
    <row r="53" spans="1:48" ht="15" customHeight="1">
      <c r="A53" s="458"/>
      <c r="B53" s="393">
        <f t="shared" si="2"/>
      </c>
      <c r="C53" s="393">
        <f t="shared" si="3"/>
      </c>
      <c r="D53" s="394">
        <f t="shared" si="4"/>
      </c>
      <c r="E53" s="394">
        <f t="shared" si="5"/>
      </c>
      <c r="F53" s="394">
        <f t="shared" si="6"/>
      </c>
      <c r="G53" s="394">
        <f t="shared" si="7"/>
      </c>
      <c r="H53" s="394">
        <f t="shared" si="32"/>
      </c>
      <c r="I53" s="395">
        <f t="shared" si="8"/>
      </c>
      <c r="J53" s="395">
        <f t="shared" si="33"/>
      </c>
      <c r="K53" s="399">
        <f t="shared" si="34"/>
      </c>
      <c r="L53" s="399">
        <f t="shared" si="35"/>
      </c>
      <c r="M53" s="394">
        <f t="shared" si="9"/>
      </c>
      <c r="N53" s="399">
        <f t="shared" si="10"/>
      </c>
      <c r="O53" s="394">
        <f t="shared" si="36"/>
      </c>
      <c r="P53" s="457">
        <f t="shared" si="11"/>
      </c>
      <c r="Q53" s="458"/>
      <c r="R53" s="393">
        <f t="shared" si="12"/>
      </c>
      <c r="S53" s="393">
        <f t="shared" si="13"/>
      </c>
      <c r="T53" s="394">
        <f t="shared" si="14"/>
      </c>
      <c r="U53" s="394">
        <f t="shared" si="15"/>
      </c>
      <c r="V53" s="394">
        <f t="shared" si="16"/>
      </c>
      <c r="W53" s="394">
        <f t="shared" si="17"/>
      </c>
      <c r="X53" s="394">
        <f t="shared" si="37"/>
      </c>
      <c r="Y53" s="395">
        <f t="shared" si="18"/>
      </c>
      <c r="Z53" s="395">
        <f t="shared" si="38"/>
      </c>
      <c r="AA53" s="399">
        <f t="shared" si="39"/>
      </c>
      <c r="AB53" s="399">
        <f t="shared" si="40"/>
      </c>
      <c r="AC53" s="394">
        <f t="shared" si="19"/>
      </c>
      <c r="AD53" s="399">
        <f t="shared" si="20"/>
      </c>
      <c r="AE53" s="394">
        <f t="shared" si="41"/>
      </c>
      <c r="AF53" s="457">
        <f t="shared" si="21"/>
      </c>
      <c r="AG53" s="458"/>
      <c r="AH53" s="393">
        <f t="shared" si="22"/>
      </c>
      <c r="AI53" s="393">
        <f t="shared" si="23"/>
      </c>
      <c r="AJ53" s="394">
        <f t="shared" si="24"/>
      </c>
      <c r="AK53" s="394">
        <f t="shared" si="25"/>
      </c>
      <c r="AL53" s="394">
        <f t="shared" si="26"/>
      </c>
      <c r="AM53" s="394">
        <f t="shared" si="27"/>
      </c>
      <c r="AN53" s="394">
        <f t="shared" si="42"/>
      </c>
      <c r="AO53" s="395">
        <f t="shared" si="28"/>
      </c>
      <c r="AP53" s="395">
        <f t="shared" si="43"/>
      </c>
      <c r="AQ53" s="399">
        <f t="shared" si="44"/>
      </c>
      <c r="AR53" s="399">
        <f t="shared" si="45"/>
      </c>
      <c r="AS53" s="400">
        <f t="shared" si="29"/>
      </c>
      <c r="AT53" s="400">
        <f t="shared" si="30"/>
      </c>
      <c r="AU53" s="400">
        <f t="shared" si="46"/>
      </c>
      <c r="AV53" s="465">
        <f t="shared" si="31"/>
      </c>
    </row>
    <row r="54" spans="1:48" ht="15" customHeight="1">
      <c r="A54" s="458"/>
      <c r="B54" s="393">
        <f t="shared" si="2"/>
      </c>
      <c r="C54" s="393">
        <f t="shared" si="3"/>
      </c>
      <c r="D54" s="394">
        <f t="shared" si="4"/>
      </c>
      <c r="E54" s="394">
        <f t="shared" si="5"/>
      </c>
      <c r="F54" s="394">
        <f t="shared" si="6"/>
      </c>
      <c r="G54" s="394">
        <f t="shared" si="7"/>
      </c>
      <c r="H54" s="394">
        <f t="shared" si="32"/>
      </c>
      <c r="I54" s="395">
        <f t="shared" si="8"/>
      </c>
      <c r="J54" s="395">
        <f t="shared" si="33"/>
      </c>
      <c r="K54" s="399">
        <f t="shared" si="34"/>
      </c>
      <c r="L54" s="399">
        <f t="shared" si="35"/>
      </c>
      <c r="M54" s="394">
        <f t="shared" si="9"/>
      </c>
      <c r="N54" s="399">
        <f t="shared" si="10"/>
      </c>
      <c r="O54" s="394">
        <f t="shared" si="36"/>
      </c>
      <c r="P54" s="457">
        <f t="shared" si="11"/>
      </c>
      <c r="Q54" s="458"/>
      <c r="R54" s="393">
        <f t="shared" si="12"/>
      </c>
      <c r="S54" s="393">
        <f t="shared" si="13"/>
      </c>
      <c r="T54" s="394">
        <f t="shared" si="14"/>
      </c>
      <c r="U54" s="394">
        <f t="shared" si="15"/>
      </c>
      <c r="V54" s="394">
        <f t="shared" si="16"/>
      </c>
      <c r="W54" s="394">
        <f t="shared" si="17"/>
      </c>
      <c r="X54" s="394">
        <f t="shared" si="37"/>
      </c>
      <c r="Y54" s="395">
        <f t="shared" si="18"/>
      </c>
      <c r="Z54" s="395">
        <f t="shared" si="38"/>
      </c>
      <c r="AA54" s="399">
        <f t="shared" si="39"/>
      </c>
      <c r="AB54" s="399">
        <f t="shared" si="40"/>
      </c>
      <c r="AC54" s="394">
        <f t="shared" si="19"/>
      </c>
      <c r="AD54" s="399">
        <f t="shared" si="20"/>
      </c>
      <c r="AE54" s="394">
        <f t="shared" si="41"/>
      </c>
      <c r="AF54" s="457">
        <f t="shared" si="21"/>
      </c>
      <c r="AG54" s="458"/>
      <c r="AH54" s="393">
        <f t="shared" si="22"/>
      </c>
      <c r="AI54" s="393">
        <f t="shared" si="23"/>
      </c>
      <c r="AJ54" s="394">
        <f t="shared" si="24"/>
      </c>
      <c r="AK54" s="394">
        <f t="shared" si="25"/>
      </c>
      <c r="AL54" s="394">
        <f t="shared" si="26"/>
      </c>
      <c r="AM54" s="394">
        <f t="shared" si="27"/>
      </c>
      <c r="AN54" s="394">
        <f t="shared" si="42"/>
      </c>
      <c r="AO54" s="395">
        <f t="shared" si="28"/>
      </c>
      <c r="AP54" s="395">
        <f t="shared" si="43"/>
      </c>
      <c r="AQ54" s="399">
        <f t="shared" si="44"/>
      </c>
      <c r="AR54" s="399">
        <f t="shared" si="45"/>
      </c>
      <c r="AS54" s="400">
        <f t="shared" si="29"/>
      </c>
      <c r="AT54" s="400">
        <f t="shared" si="30"/>
      </c>
      <c r="AU54" s="400">
        <f t="shared" si="46"/>
      </c>
      <c r="AV54" s="465">
        <f t="shared" si="31"/>
      </c>
    </row>
    <row r="55" spans="1:48" ht="15" customHeight="1">
      <c r="A55" s="458"/>
      <c r="B55" s="393">
        <f t="shared" si="2"/>
      </c>
      <c r="C55" s="393">
        <f t="shared" si="3"/>
      </c>
      <c r="D55" s="394">
        <f t="shared" si="4"/>
      </c>
      <c r="E55" s="394">
        <f t="shared" si="5"/>
      </c>
      <c r="F55" s="394">
        <f t="shared" si="6"/>
      </c>
      <c r="G55" s="394">
        <f t="shared" si="7"/>
      </c>
      <c r="H55" s="394">
        <f t="shared" si="32"/>
      </c>
      <c r="I55" s="395">
        <f t="shared" si="8"/>
      </c>
      <c r="J55" s="395">
        <f t="shared" si="33"/>
      </c>
      <c r="K55" s="399">
        <f t="shared" si="34"/>
      </c>
      <c r="L55" s="399">
        <f t="shared" si="35"/>
      </c>
      <c r="M55" s="394">
        <f t="shared" si="9"/>
      </c>
      <c r="N55" s="399">
        <f t="shared" si="10"/>
      </c>
      <c r="O55" s="394">
        <f t="shared" si="36"/>
      </c>
      <c r="P55" s="457">
        <f t="shared" si="11"/>
      </c>
      <c r="Q55" s="458"/>
      <c r="R55" s="393">
        <f t="shared" si="12"/>
      </c>
      <c r="S55" s="393">
        <f t="shared" si="13"/>
      </c>
      <c r="T55" s="394">
        <f t="shared" si="14"/>
      </c>
      <c r="U55" s="394">
        <f t="shared" si="15"/>
      </c>
      <c r="V55" s="394">
        <f t="shared" si="16"/>
      </c>
      <c r="W55" s="394">
        <f t="shared" si="17"/>
      </c>
      <c r="X55" s="394">
        <f t="shared" si="37"/>
      </c>
      <c r="Y55" s="395">
        <f t="shared" si="18"/>
      </c>
      <c r="Z55" s="395">
        <f t="shared" si="38"/>
      </c>
      <c r="AA55" s="399">
        <f t="shared" si="39"/>
      </c>
      <c r="AB55" s="399">
        <f t="shared" si="40"/>
      </c>
      <c r="AC55" s="394">
        <f t="shared" si="19"/>
      </c>
      <c r="AD55" s="399">
        <f t="shared" si="20"/>
      </c>
      <c r="AE55" s="394">
        <f t="shared" si="41"/>
      </c>
      <c r="AF55" s="457">
        <f t="shared" si="21"/>
      </c>
      <c r="AG55" s="458"/>
      <c r="AH55" s="393">
        <f t="shared" si="22"/>
      </c>
      <c r="AI55" s="393">
        <f t="shared" si="23"/>
      </c>
      <c r="AJ55" s="394">
        <f t="shared" si="24"/>
      </c>
      <c r="AK55" s="394">
        <f t="shared" si="25"/>
      </c>
      <c r="AL55" s="394">
        <f t="shared" si="26"/>
      </c>
      <c r="AM55" s="394">
        <f t="shared" si="27"/>
      </c>
      <c r="AN55" s="394">
        <f t="shared" si="42"/>
      </c>
      <c r="AO55" s="395">
        <f t="shared" si="28"/>
      </c>
      <c r="AP55" s="395">
        <f t="shared" si="43"/>
      </c>
      <c r="AQ55" s="399">
        <f t="shared" si="44"/>
      </c>
      <c r="AR55" s="399">
        <f t="shared" si="45"/>
      </c>
      <c r="AS55" s="400">
        <f t="shared" si="29"/>
      </c>
      <c r="AT55" s="400">
        <f t="shared" si="30"/>
      </c>
      <c r="AU55" s="400">
        <f t="shared" si="46"/>
      </c>
      <c r="AV55" s="465">
        <f t="shared" si="31"/>
      </c>
    </row>
    <row r="56" spans="1:48" ht="15" customHeight="1">
      <c r="A56" s="458"/>
      <c r="B56" s="393">
        <f t="shared" si="2"/>
      </c>
      <c r="C56" s="393">
        <f t="shared" si="3"/>
      </c>
      <c r="D56" s="394">
        <f t="shared" si="4"/>
      </c>
      <c r="E56" s="394">
        <f t="shared" si="5"/>
      </c>
      <c r="F56" s="394">
        <f t="shared" si="6"/>
      </c>
      <c r="G56" s="394">
        <f t="shared" si="7"/>
      </c>
      <c r="H56" s="394">
        <f t="shared" si="32"/>
      </c>
      <c r="I56" s="395">
        <f t="shared" si="8"/>
      </c>
      <c r="J56" s="395">
        <f t="shared" si="33"/>
      </c>
      <c r="K56" s="399">
        <f t="shared" si="34"/>
      </c>
      <c r="L56" s="399">
        <f t="shared" si="35"/>
      </c>
      <c r="M56" s="394">
        <f t="shared" si="9"/>
      </c>
      <c r="N56" s="399">
        <f t="shared" si="10"/>
      </c>
      <c r="O56" s="394">
        <f t="shared" si="36"/>
      </c>
      <c r="P56" s="457">
        <f t="shared" si="11"/>
      </c>
      <c r="Q56" s="458"/>
      <c r="R56" s="393">
        <f t="shared" si="12"/>
      </c>
      <c r="S56" s="393">
        <f t="shared" si="13"/>
      </c>
      <c r="T56" s="394">
        <f t="shared" si="14"/>
      </c>
      <c r="U56" s="394">
        <f t="shared" si="15"/>
      </c>
      <c r="V56" s="394">
        <f t="shared" si="16"/>
      </c>
      <c r="W56" s="394">
        <f t="shared" si="17"/>
      </c>
      <c r="X56" s="394">
        <f t="shared" si="37"/>
      </c>
      <c r="Y56" s="395">
        <f t="shared" si="18"/>
      </c>
      <c r="Z56" s="395">
        <f t="shared" si="38"/>
      </c>
      <c r="AA56" s="399">
        <f t="shared" si="39"/>
      </c>
      <c r="AB56" s="399">
        <f t="shared" si="40"/>
      </c>
      <c r="AC56" s="394">
        <f t="shared" si="19"/>
      </c>
      <c r="AD56" s="399">
        <f t="shared" si="20"/>
      </c>
      <c r="AE56" s="394">
        <f t="shared" si="41"/>
      </c>
      <c r="AF56" s="457">
        <f t="shared" si="21"/>
      </c>
      <c r="AG56" s="458"/>
      <c r="AH56" s="393">
        <f t="shared" si="22"/>
      </c>
      <c r="AI56" s="393">
        <f t="shared" si="23"/>
      </c>
      <c r="AJ56" s="394">
        <f t="shared" si="24"/>
      </c>
      <c r="AK56" s="394">
        <f t="shared" si="25"/>
      </c>
      <c r="AL56" s="394">
        <f t="shared" si="26"/>
      </c>
      <c r="AM56" s="394">
        <f t="shared" si="27"/>
      </c>
      <c r="AN56" s="394">
        <f t="shared" si="42"/>
      </c>
      <c r="AO56" s="395">
        <f t="shared" si="28"/>
      </c>
      <c r="AP56" s="395">
        <f t="shared" si="43"/>
      </c>
      <c r="AQ56" s="399">
        <f t="shared" si="44"/>
      </c>
      <c r="AR56" s="399">
        <f t="shared" si="45"/>
      </c>
      <c r="AS56" s="400">
        <f t="shared" si="29"/>
      </c>
      <c r="AT56" s="400">
        <f t="shared" si="30"/>
      </c>
      <c r="AU56" s="400">
        <f t="shared" si="46"/>
      </c>
      <c r="AV56" s="465">
        <f t="shared" si="31"/>
      </c>
    </row>
    <row r="57" spans="1:48" ht="15" customHeight="1">
      <c r="A57" s="458"/>
      <c r="B57" s="393">
        <f t="shared" si="2"/>
      </c>
      <c r="C57" s="393">
        <f t="shared" si="3"/>
      </c>
      <c r="D57" s="394">
        <f t="shared" si="4"/>
      </c>
      <c r="E57" s="394">
        <f t="shared" si="5"/>
      </c>
      <c r="F57" s="394">
        <f t="shared" si="6"/>
      </c>
      <c r="G57" s="394">
        <f t="shared" si="7"/>
      </c>
      <c r="H57" s="394">
        <f t="shared" si="32"/>
      </c>
      <c r="I57" s="395">
        <f t="shared" si="8"/>
      </c>
      <c r="J57" s="395">
        <f t="shared" si="33"/>
      </c>
      <c r="K57" s="399">
        <f t="shared" si="34"/>
      </c>
      <c r="L57" s="399">
        <f t="shared" si="35"/>
      </c>
      <c r="M57" s="394">
        <f t="shared" si="9"/>
      </c>
      <c r="N57" s="399">
        <f t="shared" si="10"/>
      </c>
      <c r="O57" s="394">
        <f t="shared" si="36"/>
      </c>
      <c r="P57" s="457">
        <f t="shared" si="11"/>
      </c>
      <c r="Q57" s="458"/>
      <c r="R57" s="393">
        <f t="shared" si="12"/>
      </c>
      <c r="S57" s="393">
        <f t="shared" si="13"/>
      </c>
      <c r="T57" s="394">
        <f t="shared" si="14"/>
      </c>
      <c r="U57" s="394">
        <f t="shared" si="15"/>
      </c>
      <c r="V57" s="394">
        <f t="shared" si="16"/>
      </c>
      <c r="W57" s="394">
        <f t="shared" si="17"/>
      </c>
      <c r="X57" s="394">
        <f t="shared" si="37"/>
      </c>
      <c r="Y57" s="395">
        <f t="shared" si="18"/>
      </c>
      <c r="Z57" s="395">
        <f t="shared" si="38"/>
      </c>
      <c r="AA57" s="399">
        <f t="shared" si="39"/>
      </c>
      <c r="AB57" s="399">
        <f t="shared" si="40"/>
      </c>
      <c r="AC57" s="394">
        <f t="shared" si="19"/>
      </c>
      <c r="AD57" s="399">
        <f t="shared" si="20"/>
      </c>
      <c r="AE57" s="394">
        <f t="shared" si="41"/>
      </c>
      <c r="AF57" s="457">
        <f t="shared" si="21"/>
      </c>
      <c r="AG57" s="458"/>
      <c r="AH57" s="393">
        <f t="shared" si="22"/>
      </c>
      <c r="AI57" s="393">
        <f t="shared" si="23"/>
      </c>
      <c r="AJ57" s="394">
        <f t="shared" si="24"/>
      </c>
      <c r="AK57" s="394">
        <f t="shared" si="25"/>
      </c>
      <c r="AL57" s="394">
        <f t="shared" si="26"/>
      </c>
      <c r="AM57" s="394">
        <f t="shared" si="27"/>
      </c>
      <c r="AN57" s="394">
        <f t="shared" si="42"/>
      </c>
      <c r="AO57" s="395">
        <f t="shared" si="28"/>
      </c>
      <c r="AP57" s="395">
        <f t="shared" si="43"/>
      </c>
      <c r="AQ57" s="399">
        <f t="shared" si="44"/>
      </c>
      <c r="AR57" s="399">
        <f t="shared" si="45"/>
      </c>
      <c r="AS57" s="400">
        <f t="shared" si="29"/>
      </c>
      <c r="AT57" s="400">
        <f t="shared" si="30"/>
      </c>
      <c r="AU57" s="400">
        <f t="shared" si="46"/>
      </c>
      <c r="AV57" s="465">
        <f t="shared" si="31"/>
      </c>
    </row>
    <row r="58" spans="1:48" ht="15" customHeight="1">
      <c r="A58" s="458"/>
      <c r="B58" s="393">
        <f t="shared" si="2"/>
      </c>
      <c r="C58" s="393">
        <f t="shared" si="3"/>
      </c>
      <c r="D58" s="394">
        <f t="shared" si="4"/>
      </c>
      <c r="E58" s="394">
        <f t="shared" si="5"/>
      </c>
      <c r="F58" s="394">
        <f t="shared" si="6"/>
      </c>
      <c r="G58" s="394">
        <f t="shared" si="7"/>
      </c>
      <c r="H58" s="394">
        <f t="shared" si="32"/>
      </c>
      <c r="I58" s="395">
        <f t="shared" si="8"/>
      </c>
      <c r="J58" s="395">
        <f t="shared" si="33"/>
      </c>
      <c r="K58" s="399">
        <f t="shared" si="34"/>
      </c>
      <c r="L58" s="399">
        <f t="shared" si="35"/>
      </c>
      <c r="M58" s="394">
        <f t="shared" si="9"/>
      </c>
      <c r="N58" s="399">
        <f t="shared" si="10"/>
      </c>
      <c r="O58" s="394">
        <f t="shared" si="36"/>
      </c>
      <c r="P58" s="457">
        <f t="shared" si="11"/>
      </c>
      <c r="Q58" s="458"/>
      <c r="R58" s="393">
        <f t="shared" si="12"/>
      </c>
      <c r="S58" s="393">
        <f t="shared" si="13"/>
      </c>
      <c r="T58" s="394">
        <f t="shared" si="14"/>
      </c>
      <c r="U58" s="394">
        <f t="shared" si="15"/>
      </c>
      <c r="V58" s="394">
        <f t="shared" si="16"/>
      </c>
      <c r="W58" s="394">
        <f t="shared" si="17"/>
      </c>
      <c r="X58" s="394">
        <f t="shared" si="37"/>
      </c>
      <c r="Y58" s="395">
        <f t="shared" si="18"/>
      </c>
      <c r="Z58" s="395">
        <f t="shared" si="38"/>
      </c>
      <c r="AA58" s="399">
        <f t="shared" si="39"/>
      </c>
      <c r="AB58" s="399">
        <f t="shared" si="40"/>
      </c>
      <c r="AC58" s="394">
        <f t="shared" si="19"/>
      </c>
      <c r="AD58" s="399">
        <f t="shared" si="20"/>
      </c>
      <c r="AE58" s="394">
        <f t="shared" si="41"/>
      </c>
      <c r="AF58" s="457">
        <f t="shared" si="21"/>
      </c>
      <c r="AG58" s="458"/>
      <c r="AH58" s="393">
        <f t="shared" si="22"/>
      </c>
      <c r="AI58" s="393">
        <f t="shared" si="23"/>
      </c>
      <c r="AJ58" s="394">
        <f t="shared" si="24"/>
      </c>
      <c r="AK58" s="394">
        <f t="shared" si="25"/>
      </c>
      <c r="AL58" s="394">
        <f t="shared" si="26"/>
      </c>
      <c r="AM58" s="394">
        <f t="shared" si="27"/>
      </c>
      <c r="AN58" s="394">
        <f t="shared" si="42"/>
      </c>
      <c r="AO58" s="395">
        <f t="shared" si="28"/>
      </c>
      <c r="AP58" s="395">
        <f t="shared" si="43"/>
      </c>
      <c r="AQ58" s="399">
        <f t="shared" si="44"/>
      </c>
      <c r="AR58" s="399">
        <f t="shared" si="45"/>
      </c>
      <c r="AS58" s="400">
        <f t="shared" si="29"/>
      </c>
      <c r="AT58" s="400">
        <f t="shared" si="30"/>
      </c>
      <c r="AU58" s="400">
        <f t="shared" si="46"/>
      </c>
      <c r="AV58" s="465">
        <f t="shared" si="31"/>
      </c>
    </row>
    <row r="59" spans="1:48" ht="15" customHeight="1">
      <c r="A59" s="458"/>
      <c r="B59" s="393">
        <f t="shared" si="2"/>
      </c>
      <c r="C59" s="393">
        <f t="shared" si="3"/>
      </c>
      <c r="D59" s="394">
        <f t="shared" si="4"/>
      </c>
      <c r="E59" s="394">
        <f t="shared" si="5"/>
      </c>
      <c r="F59" s="394">
        <f t="shared" si="6"/>
      </c>
      <c r="G59" s="394">
        <f t="shared" si="7"/>
      </c>
      <c r="H59" s="394">
        <f t="shared" si="32"/>
      </c>
      <c r="I59" s="395">
        <f t="shared" si="8"/>
      </c>
      <c r="J59" s="395">
        <f t="shared" si="33"/>
      </c>
      <c r="K59" s="399">
        <f t="shared" si="34"/>
      </c>
      <c r="L59" s="399">
        <f t="shared" si="35"/>
      </c>
      <c r="M59" s="394">
        <f t="shared" si="9"/>
      </c>
      <c r="N59" s="399">
        <f t="shared" si="10"/>
      </c>
      <c r="O59" s="394">
        <f t="shared" si="36"/>
      </c>
      <c r="P59" s="457">
        <f t="shared" si="11"/>
      </c>
      <c r="Q59" s="458"/>
      <c r="R59" s="393">
        <f t="shared" si="12"/>
      </c>
      <c r="S59" s="393">
        <f t="shared" si="13"/>
      </c>
      <c r="T59" s="394">
        <f t="shared" si="14"/>
      </c>
      <c r="U59" s="394">
        <f t="shared" si="15"/>
      </c>
      <c r="V59" s="394">
        <f t="shared" si="16"/>
      </c>
      <c r="W59" s="394">
        <f t="shared" si="17"/>
      </c>
      <c r="X59" s="394">
        <f t="shared" si="37"/>
      </c>
      <c r="Y59" s="395">
        <f t="shared" si="18"/>
      </c>
      <c r="Z59" s="395">
        <f t="shared" si="38"/>
      </c>
      <c r="AA59" s="399">
        <f t="shared" si="39"/>
      </c>
      <c r="AB59" s="399">
        <f t="shared" si="40"/>
      </c>
      <c r="AC59" s="394">
        <f t="shared" si="19"/>
      </c>
      <c r="AD59" s="399">
        <f t="shared" si="20"/>
      </c>
      <c r="AE59" s="394">
        <f t="shared" si="41"/>
      </c>
      <c r="AF59" s="457">
        <f t="shared" si="21"/>
      </c>
      <c r="AG59" s="458"/>
      <c r="AH59" s="393">
        <f t="shared" si="22"/>
      </c>
      <c r="AI59" s="393">
        <f t="shared" si="23"/>
      </c>
      <c r="AJ59" s="394">
        <f t="shared" si="24"/>
      </c>
      <c r="AK59" s="394">
        <f t="shared" si="25"/>
      </c>
      <c r="AL59" s="394">
        <f t="shared" si="26"/>
      </c>
      <c r="AM59" s="394">
        <f t="shared" si="27"/>
      </c>
      <c r="AN59" s="394">
        <f t="shared" si="42"/>
      </c>
      <c r="AO59" s="395">
        <f t="shared" si="28"/>
      </c>
      <c r="AP59" s="395">
        <f t="shared" si="43"/>
      </c>
      <c r="AQ59" s="399">
        <f t="shared" si="44"/>
      </c>
      <c r="AR59" s="399">
        <f t="shared" si="45"/>
      </c>
      <c r="AS59" s="400">
        <f t="shared" si="29"/>
      </c>
      <c r="AT59" s="400">
        <f t="shared" si="30"/>
      </c>
      <c r="AU59" s="400">
        <f t="shared" si="46"/>
      </c>
      <c r="AV59" s="465">
        <f t="shared" si="31"/>
      </c>
    </row>
    <row r="60" spans="1:48" ht="15" customHeight="1">
      <c r="A60" s="458"/>
      <c r="B60" s="393">
        <f t="shared" si="2"/>
      </c>
      <c r="C60" s="393">
        <f t="shared" si="3"/>
      </c>
      <c r="D60" s="394">
        <f t="shared" si="4"/>
      </c>
      <c r="E60" s="394">
        <f t="shared" si="5"/>
      </c>
      <c r="F60" s="394">
        <f t="shared" si="6"/>
      </c>
      <c r="G60" s="394">
        <f t="shared" si="7"/>
      </c>
      <c r="H60" s="394">
        <f t="shared" si="32"/>
      </c>
      <c r="I60" s="395">
        <f t="shared" si="8"/>
      </c>
      <c r="J60" s="395">
        <f t="shared" si="33"/>
      </c>
      <c r="K60" s="399">
        <f t="shared" si="34"/>
      </c>
      <c r="L60" s="399">
        <f t="shared" si="35"/>
      </c>
      <c r="M60" s="394">
        <f t="shared" si="9"/>
      </c>
      <c r="N60" s="399">
        <f t="shared" si="10"/>
      </c>
      <c r="O60" s="394">
        <f t="shared" si="36"/>
      </c>
      <c r="P60" s="457">
        <f t="shared" si="11"/>
      </c>
      <c r="Q60" s="458"/>
      <c r="R60" s="393">
        <f t="shared" si="12"/>
      </c>
      <c r="S60" s="393">
        <f t="shared" si="13"/>
      </c>
      <c r="T60" s="394">
        <f t="shared" si="14"/>
      </c>
      <c r="U60" s="394">
        <f t="shared" si="15"/>
      </c>
      <c r="V60" s="394">
        <f t="shared" si="16"/>
      </c>
      <c r="W60" s="394">
        <f t="shared" si="17"/>
      </c>
      <c r="X60" s="394">
        <f t="shared" si="37"/>
      </c>
      <c r="Y60" s="395">
        <f t="shared" si="18"/>
      </c>
      <c r="Z60" s="395">
        <f t="shared" si="38"/>
      </c>
      <c r="AA60" s="399">
        <f t="shared" si="39"/>
      </c>
      <c r="AB60" s="399">
        <f t="shared" si="40"/>
      </c>
      <c r="AC60" s="394">
        <f t="shared" si="19"/>
      </c>
      <c r="AD60" s="399">
        <f t="shared" si="20"/>
      </c>
      <c r="AE60" s="394">
        <f t="shared" si="41"/>
      </c>
      <c r="AF60" s="457">
        <f t="shared" si="21"/>
      </c>
      <c r="AG60" s="458"/>
      <c r="AH60" s="393">
        <f t="shared" si="22"/>
      </c>
      <c r="AI60" s="393">
        <f t="shared" si="23"/>
      </c>
      <c r="AJ60" s="394">
        <f t="shared" si="24"/>
      </c>
      <c r="AK60" s="394">
        <f t="shared" si="25"/>
      </c>
      <c r="AL60" s="394">
        <f t="shared" si="26"/>
      </c>
      <c r="AM60" s="394">
        <f t="shared" si="27"/>
      </c>
      <c r="AN60" s="394">
        <f t="shared" si="42"/>
      </c>
      <c r="AO60" s="395">
        <f t="shared" si="28"/>
      </c>
      <c r="AP60" s="395">
        <f t="shared" si="43"/>
      </c>
      <c r="AQ60" s="399">
        <f t="shared" si="44"/>
      </c>
      <c r="AR60" s="399">
        <f t="shared" si="45"/>
      </c>
      <c r="AS60" s="400">
        <f t="shared" si="29"/>
      </c>
      <c r="AT60" s="400">
        <f t="shared" si="30"/>
      </c>
      <c r="AU60" s="400">
        <f t="shared" si="46"/>
      </c>
      <c r="AV60" s="465">
        <f t="shared" si="31"/>
      </c>
    </row>
    <row r="61" spans="1:48" ht="15" customHeight="1">
      <c r="A61" s="458"/>
      <c r="B61" s="393">
        <f t="shared" si="2"/>
      </c>
      <c r="C61" s="393">
        <f t="shared" si="3"/>
      </c>
      <c r="D61" s="394">
        <f t="shared" si="4"/>
      </c>
      <c r="E61" s="394">
        <f t="shared" si="5"/>
      </c>
      <c r="F61" s="394">
        <f t="shared" si="6"/>
      </c>
      <c r="G61" s="394">
        <f t="shared" si="7"/>
      </c>
      <c r="H61" s="394">
        <f t="shared" si="32"/>
      </c>
      <c r="I61" s="395">
        <f t="shared" si="8"/>
      </c>
      <c r="J61" s="395">
        <f t="shared" si="33"/>
      </c>
      <c r="K61" s="399">
        <f t="shared" si="34"/>
      </c>
      <c r="L61" s="399">
        <f t="shared" si="35"/>
      </c>
      <c r="M61" s="394">
        <f t="shared" si="9"/>
      </c>
      <c r="N61" s="399">
        <f t="shared" si="10"/>
      </c>
      <c r="O61" s="394">
        <f t="shared" si="36"/>
      </c>
      <c r="P61" s="457">
        <f t="shared" si="11"/>
      </c>
      <c r="Q61" s="458"/>
      <c r="R61" s="393">
        <f t="shared" si="12"/>
      </c>
      <c r="S61" s="393">
        <f t="shared" si="13"/>
      </c>
      <c r="T61" s="394">
        <f t="shared" si="14"/>
      </c>
      <c r="U61" s="394">
        <f t="shared" si="15"/>
      </c>
      <c r="V61" s="394">
        <f t="shared" si="16"/>
      </c>
      <c r="W61" s="394">
        <f t="shared" si="17"/>
      </c>
      <c r="X61" s="394">
        <f t="shared" si="37"/>
      </c>
      <c r="Y61" s="395">
        <f t="shared" si="18"/>
      </c>
      <c r="Z61" s="395">
        <f t="shared" si="38"/>
      </c>
      <c r="AA61" s="399">
        <f t="shared" si="39"/>
      </c>
      <c r="AB61" s="399">
        <f t="shared" si="40"/>
      </c>
      <c r="AC61" s="394">
        <f t="shared" si="19"/>
      </c>
      <c r="AD61" s="399">
        <f t="shared" si="20"/>
      </c>
      <c r="AE61" s="394">
        <f t="shared" si="41"/>
      </c>
      <c r="AF61" s="457">
        <f t="shared" si="21"/>
      </c>
      <c r="AG61" s="458"/>
      <c r="AH61" s="393">
        <f t="shared" si="22"/>
      </c>
      <c r="AI61" s="393">
        <f t="shared" si="23"/>
      </c>
      <c r="AJ61" s="394">
        <f t="shared" si="24"/>
      </c>
      <c r="AK61" s="394">
        <f t="shared" si="25"/>
      </c>
      <c r="AL61" s="394">
        <f t="shared" si="26"/>
      </c>
      <c r="AM61" s="394">
        <f t="shared" si="27"/>
      </c>
      <c r="AN61" s="394">
        <f t="shared" si="42"/>
      </c>
      <c r="AO61" s="395">
        <f t="shared" si="28"/>
      </c>
      <c r="AP61" s="395">
        <f t="shared" si="43"/>
      </c>
      <c r="AQ61" s="399">
        <f t="shared" si="44"/>
      </c>
      <c r="AR61" s="399">
        <f t="shared" si="45"/>
      </c>
      <c r="AS61" s="400">
        <f t="shared" si="29"/>
      </c>
      <c r="AT61" s="400">
        <f t="shared" si="30"/>
      </c>
      <c r="AU61" s="400">
        <f t="shared" si="46"/>
      </c>
      <c r="AV61" s="465">
        <f t="shared" si="31"/>
      </c>
    </row>
    <row r="62" spans="1:48" ht="15" customHeight="1">
      <c r="A62" s="458"/>
      <c r="B62" s="393">
        <f t="shared" si="2"/>
      </c>
      <c r="C62" s="393">
        <f t="shared" si="3"/>
      </c>
      <c r="D62" s="394">
        <f t="shared" si="4"/>
      </c>
      <c r="E62" s="394">
        <f t="shared" si="5"/>
      </c>
      <c r="F62" s="394">
        <f t="shared" si="6"/>
      </c>
      <c r="G62" s="394">
        <f t="shared" si="7"/>
      </c>
      <c r="H62" s="394">
        <f t="shared" si="32"/>
      </c>
      <c r="I62" s="395">
        <f t="shared" si="8"/>
      </c>
      <c r="J62" s="395">
        <f t="shared" si="33"/>
      </c>
      <c r="K62" s="399">
        <f t="shared" si="34"/>
      </c>
      <c r="L62" s="399">
        <f t="shared" si="35"/>
      </c>
      <c r="M62" s="394">
        <f t="shared" si="9"/>
      </c>
      <c r="N62" s="399">
        <f t="shared" si="10"/>
      </c>
      <c r="O62" s="394">
        <f t="shared" si="36"/>
      </c>
      <c r="P62" s="457">
        <f t="shared" si="11"/>
      </c>
      <c r="Q62" s="458"/>
      <c r="R62" s="393">
        <f t="shared" si="12"/>
      </c>
      <c r="S62" s="393">
        <f t="shared" si="13"/>
      </c>
      <c r="T62" s="394">
        <f t="shared" si="14"/>
      </c>
      <c r="U62" s="394">
        <f t="shared" si="15"/>
      </c>
      <c r="V62" s="394">
        <f t="shared" si="16"/>
      </c>
      <c r="W62" s="394">
        <f t="shared" si="17"/>
      </c>
      <c r="X62" s="394">
        <f t="shared" si="37"/>
      </c>
      <c r="Y62" s="395">
        <f t="shared" si="18"/>
      </c>
      <c r="Z62" s="395">
        <f t="shared" si="38"/>
      </c>
      <c r="AA62" s="399">
        <f t="shared" si="39"/>
      </c>
      <c r="AB62" s="399">
        <f t="shared" si="40"/>
      </c>
      <c r="AC62" s="394">
        <f t="shared" si="19"/>
      </c>
      <c r="AD62" s="399">
        <f t="shared" si="20"/>
      </c>
      <c r="AE62" s="394">
        <f t="shared" si="41"/>
      </c>
      <c r="AF62" s="457">
        <f t="shared" si="21"/>
      </c>
      <c r="AG62" s="458"/>
      <c r="AH62" s="393">
        <f t="shared" si="22"/>
      </c>
      <c r="AI62" s="393">
        <f t="shared" si="23"/>
      </c>
      <c r="AJ62" s="394">
        <f t="shared" si="24"/>
      </c>
      <c r="AK62" s="394">
        <f t="shared" si="25"/>
      </c>
      <c r="AL62" s="394">
        <f t="shared" si="26"/>
      </c>
      <c r="AM62" s="394">
        <f t="shared" si="27"/>
      </c>
      <c r="AN62" s="394">
        <f t="shared" si="42"/>
      </c>
      <c r="AO62" s="395">
        <f t="shared" si="28"/>
      </c>
      <c r="AP62" s="395">
        <f t="shared" si="43"/>
      </c>
      <c r="AQ62" s="399">
        <f t="shared" si="44"/>
      </c>
      <c r="AR62" s="399">
        <f t="shared" si="45"/>
      </c>
      <c r="AS62" s="400">
        <f t="shared" si="29"/>
      </c>
      <c r="AT62" s="400">
        <f t="shared" si="30"/>
      </c>
      <c r="AU62" s="400">
        <f t="shared" si="46"/>
      </c>
      <c r="AV62" s="465">
        <f t="shared" si="31"/>
      </c>
    </row>
    <row r="63" spans="1:48" ht="15" customHeight="1">
      <c r="A63" s="458"/>
      <c r="B63" s="393">
        <f t="shared" si="2"/>
      </c>
      <c r="C63" s="393">
        <f t="shared" si="3"/>
      </c>
      <c r="D63" s="394">
        <f t="shared" si="4"/>
      </c>
      <c r="E63" s="394">
        <f t="shared" si="5"/>
      </c>
      <c r="F63" s="394">
        <f t="shared" si="6"/>
      </c>
      <c r="G63" s="394">
        <f t="shared" si="7"/>
      </c>
      <c r="H63" s="394">
        <f t="shared" si="32"/>
      </c>
      <c r="I63" s="395">
        <f t="shared" si="8"/>
      </c>
      <c r="J63" s="395">
        <f t="shared" si="33"/>
      </c>
      <c r="K63" s="399">
        <f t="shared" si="34"/>
      </c>
      <c r="L63" s="399">
        <f t="shared" si="35"/>
      </c>
      <c r="M63" s="394">
        <f t="shared" si="9"/>
      </c>
      <c r="N63" s="399">
        <f t="shared" si="10"/>
      </c>
      <c r="O63" s="394">
        <f t="shared" si="36"/>
      </c>
      <c r="P63" s="457">
        <f t="shared" si="11"/>
      </c>
      <c r="Q63" s="458"/>
      <c r="R63" s="393">
        <f t="shared" si="12"/>
      </c>
      <c r="S63" s="393">
        <f t="shared" si="13"/>
      </c>
      <c r="T63" s="394">
        <f t="shared" si="14"/>
      </c>
      <c r="U63" s="394">
        <f t="shared" si="15"/>
      </c>
      <c r="V63" s="394">
        <f t="shared" si="16"/>
      </c>
      <c r="W63" s="394">
        <f t="shared" si="17"/>
      </c>
      <c r="X63" s="394">
        <f t="shared" si="37"/>
      </c>
      <c r="Y63" s="395">
        <f t="shared" si="18"/>
      </c>
      <c r="Z63" s="395">
        <f t="shared" si="38"/>
      </c>
      <c r="AA63" s="399">
        <f t="shared" si="39"/>
      </c>
      <c r="AB63" s="399">
        <f t="shared" si="40"/>
      </c>
      <c r="AC63" s="394">
        <f t="shared" si="19"/>
      </c>
      <c r="AD63" s="399">
        <f t="shared" si="20"/>
      </c>
      <c r="AE63" s="394">
        <f t="shared" si="41"/>
      </c>
      <c r="AF63" s="457">
        <f t="shared" si="21"/>
      </c>
      <c r="AG63" s="458"/>
      <c r="AH63" s="393">
        <f t="shared" si="22"/>
      </c>
      <c r="AI63" s="393">
        <f t="shared" si="23"/>
      </c>
      <c r="AJ63" s="394">
        <f t="shared" si="24"/>
      </c>
      <c r="AK63" s="394">
        <f t="shared" si="25"/>
      </c>
      <c r="AL63" s="394">
        <f t="shared" si="26"/>
      </c>
      <c r="AM63" s="394">
        <f t="shared" si="27"/>
      </c>
      <c r="AN63" s="394">
        <f t="shared" si="42"/>
      </c>
      <c r="AO63" s="395">
        <f t="shared" si="28"/>
      </c>
      <c r="AP63" s="395">
        <f t="shared" si="43"/>
      </c>
      <c r="AQ63" s="399">
        <f t="shared" si="44"/>
      </c>
      <c r="AR63" s="399">
        <f t="shared" si="45"/>
      </c>
      <c r="AS63" s="400">
        <f t="shared" si="29"/>
      </c>
      <c r="AT63" s="400">
        <f t="shared" si="30"/>
      </c>
      <c r="AU63" s="400">
        <f t="shared" si="46"/>
      </c>
      <c r="AV63" s="465">
        <f t="shared" si="31"/>
      </c>
    </row>
    <row r="64" spans="1:48" ht="15" customHeight="1">
      <c r="A64" s="458"/>
      <c r="B64" s="393">
        <f t="shared" si="2"/>
      </c>
      <c r="C64" s="393">
        <f t="shared" si="3"/>
      </c>
      <c r="D64" s="394">
        <f t="shared" si="4"/>
      </c>
      <c r="E64" s="394">
        <f t="shared" si="5"/>
      </c>
      <c r="F64" s="394">
        <f t="shared" si="6"/>
      </c>
      <c r="G64" s="394">
        <f t="shared" si="7"/>
      </c>
      <c r="H64" s="394">
        <f t="shared" si="32"/>
      </c>
      <c r="I64" s="395">
        <f t="shared" si="8"/>
      </c>
      <c r="J64" s="395">
        <f t="shared" si="33"/>
      </c>
      <c r="K64" s="399">
        <f t="shared" si="34"/>
      </c>
      <c r="L64" s="399">
        <f t="shared" si="35"/>
      </c>
      <c r="M64" s="394">
        <f t="shared" si="9"/>
      </c>
      <c r="N64" s="399">
        <f t="shared" si="10"/>
      </c>
      <c r="O64" s="394">
        <f t="shared" si="36"/>
      </c>
      <c r="P64" s="457">
        <f t="shared" si="11"/>
      </c>
      <c r="Q64" s="458"/>
      <c r="R64" s="393">
        <f t="shared" si="12"/>
      </c>
      <c r="S64" s="393">
        <f t="shared" si="13"/>
      </c>
      <c r="T64" s="394">
        <f t="shared" si="14"/>
      </c>
      <c r="U64" s="394">
        <f t="shared" si="15"/>
      </c>
      <c r="V64" s="394">
        <f t="shared" si="16"/>
      </c>
      <c r="W64" s="394">
        <f t="shared" si="17"/>
      </c>
      <c r="X64" s="394">
        <f t="shared" si="37"/>
      </c>
      <c r="Y64" s="395">
        <f t="shared" si="18"/>
      </c>
      <c r="Z64" s="395">
        <f t="shared" si="38"/>
      </c>
      <c r="AA64" s="399">
        <f t="shared" si="39"/>
      </c>
      <c r="AB64" s="399">
        <f t="shared" si="40"/>
      </c>
      <c r="AC64" s="394">
        <f t="shared" si="19"/>
      </c>
      <c r="AD64" s="399">
        <f t="shared" si="20"/>
      </c>
      <c r="AE64" s="394">
        <f t="shared" si="41"/>
      </c>
      <c r="AF64" s="457">
        <f t="shared" si="21"/>
      </c>
      <c r="AG64" s="458"/>
      <c r="AH64" s="393">
        <f t="shared" si="22"/>
      </c>
      <c r="AI64" s="393">
        <f t="shared" si="23"/>
      </c>
      <c r="AJ64" s="394">
        <f t="shared" si="24"/>
      </c>
      <c r="AK64" s="394">
        <f t="shared" si="25"/>
      </c>
      <c r="AL64" s="394">
        <f t="shared" si="26"/>
      </c>
      <c r="AM64" s="394">
        <f t="shared" si="27"/>
      </c>
      <c r="AN64" s="394">
        <f t="shared" si="42"/>
      </c>
      <c r="AO64" s="395">
        <f t="shared" si="28"/>
      </c>
      <c r="AP64" s="395">
        <f t="shared" si="43"/>
      </c>
      <c r="AQ64" s="399">
        <f t="shared" si="44"/>
      </c>
      <c r="AR64" s="399">
        <f t="shared" si="45"/>
      </c>
      <c r="AS64" s="400">
        <f t="shared" si="29"/>
      </c>
      <c r="AT64" s="400">
        <f t="shared" si="30"/>
      </c>
      <c r="AU64" s="400">
        <f t="shared" si="46"/>
      </c>
      <c r="AV64" s="465">
        <f t="shared" si="31"/>
      </c>
    </row>
    <row r="65" spans="1:48" ht="15" customHeight="1">
      <c r="A65" s="458"/>
      <c r="B65" s="393">
        <f t="shared" si="2"/>
      </c>
      <c r="C65" s="393">
        <f t="shared" si="3"/>
      </c>
      <c r="D65" s="394">
        <f t="shared" si="4"/>
      </c>
      <c r="E65" s="394">
        <f t="shared" si="5"/>
      </c>
      <c r="F65" s="394">
        <f t="shared" si="6"/>
      </c>
      <c r="G65" s="394">
        <f t="shared" si="7"/>
      </c>
      <c r="H65" s="394">
        <f t="shared" si="32"/>
      </c>
      <c r="I65" s="395">
        <f t="shared" si="8"/>
      </c>
      <c r="J65" s="395">
        <f t="shared" si="33"/>
      </c>
      <c r="K65" s="399">
        <f t="shared" si="34"/>
      </c>
      <c r="L65" s="399">
        <f t="shared" si="35"/>
      </c>
      <c r="M65" s="394">
        <f t="shared" si="9"/>
      </c>
      <c r="N65" s="399">
        <f t="shared" si="10"/>
      </c>
      <c r="O65" s="394">
        <f t="shared" si="36"/>
      </c>
      <c r="P65" s="457">
        <f t="shared" si="11"/>
      </c>
      <c r="Q65" s="458"/>
      <c r="R65" s="393">
        <f t="shared" si="12"/>
      </c>
      <c r="S65" s="393">
        <f t="shared" si="13"/>
      </c>
      <c r="T65" s="394">
        <f t="shared" si="14"/>
      </c>
      <c r="U65" s="394">
        <f t="shared" si="15"/>
      </c>
      <c r="V65" s="394">
        <f t="shared" si="16"/>
      </c>
      <c r="W65" s="394">
        <f t="shared" si="17"/>
      </c>
      <c r="X65" s="394">
        <f t="shared" si="37"/>
      </c>
      <c r="Y65" s="395">
        <f t="shared" si="18"/>
      </c>
      <c r="Z65" s="395">
        <f t="shared" si="38"/>
      </c>
      <c r="AA65" s="399">
        <f t="shared" si="39"/>
      </c>
      <c r="AB65" s="399">
        <f t="shared" si="40"/>
      </c>
      <c r="AC65" s="394">
        <f t="shared" si="19"/>
      </c>
      <c r="AD65" s="399">
        <f t="shared" si="20"/>
      </c>
      <c r="AE65" s="394">
        <f t="shared" si="41"/>
      </c>
      <c r="AF65" s="457">
        <f t="shared" si="21"/>
      </c>
      <c r="AG65" s="458"/>
      <c r="AH65" s="393">
        <f t="shared" si="22"/>
      </c>
      <c r="AI65" s="393">
        <f t="shared" si="23"/>
      </c>
      <c r="AJ65" s="394">
        <f t="shared" si="24"/>
      </c>
      <c r="AK65" s="394">
        <f t="shared" si="25"/>
      </c>
      <c r="AL65" s="394">
        <f t="shared" si="26"/>
      </c>
      <c r="AM65" s="394">
        <f t="shared" si="27"/>
      </c>
      <c r="AN65" s="394">
        <f t="shared" si="42"/>
      </c>
      <c r="AO65" s="395">
        <f t="shared" si="28"/>
      </c>
      <c r="AP65" s="395">
        <f t="shared" si="43"/>
      </c>
      <c r="AQ65" s="399">
        <f t="shared" si="44"/>
      </c>
      <c r="AR65" s="399">
        <f t="shared" si="45"/>
      </c>
      <c r="AS65" s="400">
        <f t="shared" si="29"/>
      </c>
      <c r="AT65" s="400">
        <f t="shared" si="30"/>
      </c>
      <c r="AU65" s="400">
        <f t="shared" si="46"/>
      </c>
      <c r="AV65" s="465">
        <f t="shared" si="31"/>
      </c>
    </row>
    <row r="66" spans="1:48" ht="15" customHeight="1">
      <c r="A66" s="458"/>
      <c r="B66" s="393">
        <f t="shared" si="2"/>
      </c>
      <c r="C66" s="393">
        <f t="shared" si="3"/>
      </c>
      <c r="D66" s="394">
        <f t="shared" si="4"/>
      </c>
      <c r="E66" s="394">
        <f t="shared" si="5"/>
      </c>
      <c r="F66" s="394">
        <f t="shared" si="6"/>
      </c>
      <c r="G66" s="394">
        <f t="shared" si="7"/>
      </c>
      <c r="H66" s="394">
        <f t="shared" si="32"/>
      </c>
      <c r="I66" s="395">
        <f t="shared" si="8"/>
      </c>
      <c r="J66" s="395">
        <f t="shared" si="33"/>
      </c>
      <c r="K66" s="399">
        <f t="shared" si="34"/>
      </c>
      <c r="L66" s="399">
        <f t="shared" si="35"/>
      </c>
      <c r="M66" s="394">
        <f t="shared" si="9"/>
      </c>
      <c r="N66" s="399">
        <f t="shared" si="10"/>
      </c>
      <c r="O66" s="394">
        <f t="shared" si="36"/>
      </c>
      <c r="P66" s="457">
        <f t="shared" si="11"/>
      </c>
      <c r="Q66" s="458"/>
      <c r="R66" s="393">
        <f t="shared" si="12"/>
      </c>
      <c r="S66" s="393">
        <f t="shared" si="13"/>
      </c>
      <c r="T66" s="394">
        <f t="shared" si="14"/>
      </c>
      <c r="U66" s="394">
        <f t="shared" si="15"/>
      </c>
      <c r="V66" s="394">
        <f t="shared" si="16"/>
      </c>
      <c r="W66" s="394">
        <f t="shared" si="17"/>
      </c>
      <c r="X66" s="394">
        <f t="shared" si="37"/>
      </c>
      <c r="Y66" s="395">
        <f t="shared" si="18"/>
      </c>
      <c r="Z66" s="395">
        <f t="shared" si="38"/>
      </c>
      <c r="AA66" s="399">
        <f t="shared" si="39"/>
      </c>
      <c r="AB66" s="399">
        <f t="shared" si="40"/>
      </c>
      <c r="AC66" s="394">
        <f t="shared" si="19"/>
      </c>
      <c r="AD66" s="399">
        <f t="shared" si="20"/>
      </c>
      <c r="AE66" s="394">
        <f t="shared" si="41"/>
      </c>
      <c r="AF66" s="457">
        <f t="shared" si="21"/>
      </c>
      <c r="AG66" s="458"/>
      <c r="AH66" s="393">
        <f t="shared" si="22"/>
      </c>
      <c r="AI66" s="393">
        <f t="shared" si="23"/>
      </c>
      <c r="AJ66" s="394">
        <f t="shared" si="24"/>
      </c>
      <c r="AK66" s="394">
        <f t="shared" si="25"/>
      </c>
      <c r="AL66" s="394">
        <f t="shared" si="26"/>
      </c>
      <c r="AM66" s="394">
        <f t="shared" si="27"/>
      </c>
      <c r="AN66" s="394">
        <f t="shared" si="42"/>
      </c>
      <c r="AO66" s="395">
        <f t="shared" si="28"/>
      </c>
      <c r="AP66" s="395">
        <f t="shared" si="43"/>
      </c>
      <c r="AQ66" s="399">
        <f t="shared" si="44"/>
      </c>
      <c r="AR66" s="399">
        <f t="shared" si="45"/>
      </c>
      <c r="AS66" s="400">
        <f t="shared" si="29"/>
      </c>
      <c r="AT66" s="400">
        <f t="shared" si="30"/>
      </c>
      <c r="AU66" s="400">
        <f t="shared" si="46"/>
      </c>
      <c r="AV66" s="465">
        <f t="shared" si="31"/>
      </c>
    </row>
    <row r="67" spans="1:48" ht="15" customHeight="1">
      <c r="A67" s="458"/>
      <c r="B67" s="393">
        <f t="shared" si="2"/>
      </c>
      <c r="C67" s="393">
        <f t="shared" si="3"/>
      </c>
      <c r="D67" s="394">
        <f t="shared" si="4"/>
      </c>
      <c r="E67" s="394">
        <f t="shared" si="5"/>
      </c>
      <c r="F67" s="394">
        <f t="shared" si="6"/>
      </c>
      <c r="G67" s="394">
        <f t="shared" si="7"/>
      </c>
      <c r="H67" s="394">
        <f t="shared" si="32"/>
      </c>
      <c r="I67" s="395">
        <f t="shared" si="8"/>
      </c>
      <c r="J67" s="395">
        <f t="shared" si="33"/>
      </c>
      <c r="K67" s="399">
        <f t="shared" si="34"/>
      </c>
      <c r="L67" s="399">
        <f t="shared" si="35"/>
      </c>
      <c r="M67" s="394">
        <f t="shared" si="9"/>
      </c>
      <c r="N67" s="399">
        <f t="shared" si="10"/>
      </c>
      <c r="O67" s="394">
        <f t="shared" si="36"/>
      </c>
      <c r="P67" s="457">
        <f t="shared" si="11"/>
      </c>
      <c r="Q67" s="458"/>
      <c r="R67" s="393">
        <f t="shared" si="12"/>
      </c>
      <c r="S67" s="393">
        <f t="shared" si="13"/>
      </c>
      <c r="T67" s="394">
        <f t="shared" si="14"/>
      </c>
      <c r="U67" s="394">
        <f t="shared" si="15"/>
      </c>
      <c r="V67" s="394">
        <f t="shared" si="16"/>
      </c>
      <c r="W67" s="394">
        <f t="shared" si="17"/>
      </c>
      <c r="X67" s="394">
        <f t="shared" si="37"/>
      </c>
      <c r="Y67" s="395">
        <f t="shared" si="18"/>
      </c>
      <c r="Z67" s="395">
        <f t="shared" si="38"/>
      </c>
      <c r="AA67" s="399">
        <f t="shared" si="39"/>
      </c>
      <c r="AB67" s="399">
        <f t="shared" si="40"/>
      </c>
      <c r="AC67" s="394">
        <f t="shared" si="19"/>
      </c>
      <c r="AD67" s="399">
        <f t="shared" si="20"/>
      </c>
      <c r="AE67" s="394">
        <f t="shared" si="41"/>
      </c>
      <c r="AF67" s="457">
        <f t="shared" si="21"/>
      </c>
      <c r="AG67" s="458"/>
      <c r="AH67" s="393">
        <f t="shared" si="22"/>
      </c>
      <c r="AI67" s="393">
        <f t="shared" si="23"/>
      </c>
      <c r="AJ67" s="394">
        <f t="shared" si="24"/>
      </c>
      <c r="AK67" s="394">
        <f t="shared" si="25"/>
      </c>
      <c r="AL67" s="394">
        <f t="shared" si="26"/>
      </c>
      <c r="AM67" s="394">
        <f t="shared" si="27"/>
      </c>
      <c r="AN67" s="394">
        <f t="shared" si="42"/>
      </c>
      <c r="AO67" s="395">
        <f t="shared" si="28"/>
      </c>
      <c r="AP67" s="395">
        <f t="shared" si="43"/>
      </c>
      <c r="AQ67" s="399">
        <f t="shared" si="44"/>
      </c>
      <c r="AR67" s="399">
        <f t="shared" si="45"/>
      </c>
      <c r="AS67" s="400">
        <f t="shared" si="29"/>
      </c>
      <c r="AT67" s="400">
        <f t="shared" si="30"/>
      </c>
      <c r="AU67" s="400">
        <f t="shared" si="46"/>
      </c>
      <c r="AV67" s="465">
        <f t="shared" si="31"/>
      </c>
    </row>
    <row r="68" spans="1:48" ht="15" customHeight="1">
      <c r="A68" s="458"/>
      <c r="B68" s="393">
        <f t="shared" si="2"/>
      </c>
      <c r="C68" s="393">
        <f t="shared" si="3"/>
      </c>
      <c r="D68" s="394">
        <f t="shared" si="4"/>
      </c>
      <c r="E68" s="394">
        <f t="shared" si="5"/>
      </c>
      <c r="F68" s="394">
        <f t="shared" si="6"/>
      </c>
      <c r="G68" s="394">
        <f t="shared" si="7"/>
      </c>
      <c r="H68" s="394">
        <f t="shared" si="32"/>
      </c>
      <c r="I68" s="395">
        <f t="shared" si="8"/>
      </c>
      <c r="J68" s="395">
        <f t="shared" si="33"/>
      </c>
      <c r="K68" s="399">
        <f t="shared" si="34"/>
      </c>
      <c r="L68" s="399">
        <f t="shared" si="35"/>
      </c>
      <c r="M68" s="394">
        <f t="shared" si="9"/>
      </c>
      <c r="N68" s="399">
        <f t="shared" si="10"/>
      </c>
      <c r="O68" s="394">
        <f t="shared" si="36"/>
      </c>
      <c r="P68" s="457">
        <f t="shared" si="11"/>
      </c>
      <c r="Q68" s="458"/>
      <c r="R68" s="393">
        <f t="shared" si="12"/>
      </c>
      <c r="S68" s="393">
        <f t="shared" si="13"/>
      </c>
      <c r="T68" s="394">
        <f t="shared" si="14"/>
      </c>
      <c r="U68" s="394">
        <f t="shared" si="15"/>
      </c>
      <c r="V68" s="394">
        <f t="shared" si="16"/>
      </c>
      <c r="W68" s="394">
        <f t="shared" si="17"/>
      </c>
      <c r="X68" s="394">
        <f t="shared" si="37"/>
      </c>
      <c r="Y68" s="395">
        <f t="shared" si="18"/>
      </c>
      <c r="Z68" s="395">
        <f t="shared" si="38"/>
      </c>
      <c r="AA68" s="399">
        <f t="shared" si="39"/>
      </c>
      <c r="AB68" s="399">
        <f t="shared" si="40"/>
      </c>
      <c r="AC68" s="394">
        <f t="shared" si="19"/>
      </c>
      <c r="AD68" s="399">
        <f t="shared" si="20"/>
      </c>
      <c r="AE68" s="394">
        <f t="shared" si="41"/>
      </c>
      <c r="AF68" s="457">
        <f t="shared" si="21"/>
      </c>
      <c r="AG68" s="458"/>
      <c r="AH68" s="393">
        <f t="shared" si="22"/>
      </c>
      <c r="AI68" s="393">
        <f t="shared" si="23"/>
      </c>
      <c r="AJ68" s="394">
        <f t="shared" si="24"/>
      </c>
      <c r="AK68" s="394">
        <f t="shared" si="25"/>
      </c>
      <c r="AL68" s="394">
        <f t="shared" si="26"/>
      </c>
      <c r="AM68" s="394">
        <f t="shared" si="27"/>
      </c>
      <c r="AN68" s="394">
        <f t="shared" si="42"/>
      </c>
      <c r="AO68" s="395">
        <f t="shared" si="28"/>
      </c>
      <c r="AP68" s="395">
        <f t="shared" si="43"/>
      </c>
      <c r="AQ68" s="399">
        <f t="shared" si="44"/>
      </c>
      <c r="AR68" s="399">
        <f t="shared" si="45"/>
      </c>
      <c r="AS68" s="400">
        <f t="shared" si="29"/>
      </c>
      <c r="AT68" s="400">
        <f t="shared" si="30"/>
      </c>
      <c r="AU68" s="400">
        <f t="shared" si="46"/>
      </c>
      <c r="AV68" s="465">
        <f t="shared" si="31"/>
      </c>
    </row>
    <row r="69" spans="1:48" ht="15" customHeight="1">
      <c r="A69" s="458"/>
      <c r="B69" s="393">
        <f t="shared" si="2"/>
      </c>
      <c r="C69" s="393">
        <f t="shared" si="3"/>
      </c>
      <c r="D69" s="394">
        <f t="shared" si="4"/>
      </c>
      <c r="E69" s="394">
        <f t="shared" si="5"/>
      </c>
      <c r="F69" s="394">
        <f t="shared" si="6"/>
      </c>
      <c r="G69" s="394">
        <f t="shared" si="7"/>
      </c>
      <c r="H69" s="394">
        <f t="shared" si="32"/>
      </c>
      <c r="I69" s="395">
        <f t="shared" si="8"/>
      </c>
      <c r="J69" s="395">
        <f t="shared" si="33"/>
      </c>
      <c r="K69" s="399">
        <f t="shared" si="34"/>
      </c>
      <c r="L69" s="399">
        <f t="shared" si="35"/>
      </c>
      <c r="M69" s="394">
        <f t="shared" si="9"/>
      </c>
      <c r="N69" s="399">
        <f t="shared" si="10"/>
      </c>
      <c r="O69" s="394">
        <f t="shared" si="36"/>
      </c>
      <c r="P69" s="457">
        <f t="shared" si="11"/>
      </c>
      <c r="Q69" s="458"/>
      <c r="R69" s="393">
        <f t="shared" si="12"/>
      </c>
      <c r="S69" s="393">
        <f t="shared" si="13"/>
      </c>
      <c r="T69" s="394">
        <f t="shared" si="14"/>
      </c>
      <c r="U69" s="394">
        <f t="shared" si="15"/>
      </c>
      <c r="V69" s="394">
        <f t="shared" si="16"/>
      </c>
      <c r="W69" s="394">
        <f t="shared" si="17"/>
      </c>
      <c r="X69" s="394">
        <f t="shared" si="37"/>
      </c>
      <c r="Y69" s="395">
        <f t="shared" si="18"/>
      </c>
      <c r="Z69" s="395">
        <f t="shared" si="38"/>
      </c>
      <c r="AA69" s="399">
        <f t="shared" si="39"/>
      </c>
      <c r="AB69" s="399">
        <f t="shared" si="40"/>
      </c>
      <c r="AC69" s="394">
        <f t="shared" si="19"/>
      </c>
      <c r="AD69" s="399">
        <f t="shared" si="20"/>
      </c>
      <c r="AE69" s="394">
        <f t="shared" si="41"/>
      </c>
      <c r="AF69" s="457">
        <f t="shared" si="21"/>
      </c>
      <c r="AG69" s="458"/>
      <c r="AH69" s="393">
        <f t="shared" si="22"/>
      </c>
      <c r="AI69" s="393">
        <f t="shared" si="23"/>
      </c>
      <c r="AJ69" s="394">
        <f t="shared" si="24"/>
      </c>
      <c r="AK69" s="394">
        <f t="shared" si="25"/>
      </c>
      <c r="AL69" s="394">
        <f t="shared" si="26"/>
      </c>
      <c r="AM69" s="394">
        <f t="shared" si="27"/>
      </c>
      <c r="AN69" s="394">
        <f t="shared" si="42"/>
      </c>
      <c r="AO69" s="395">
        <f t="shared" si="28"/>
      </c>
      <c r="AP69" s="395">
        <f t="shared" si="43"/>
      </c>
      <c r="AQ69" s="399">
        <f t="shared" si="44"/>
      </c>
      <c r="AR69" s="399">
        <f t="shared" si="45"/>
      </c>
      <c r="AS69" s="400">
        <f t="shared" si="29"/>
      </c>
      <c r="AT69" s="400">
        <f t="shared" si="30"/>
      </c>
      <c r="AU69" s="400">
        <f t="shared" si="46"/>
      </c>
      <c r="AV69" s="465">
        <f t="shared" si="31"/>
      </c>
    </row>
    <row r="70" spans="1:48" ht="15" customHeight="1" thickBot="1">
      <c r="A70" s="459"/>
      <c r="B70" s="460">
        <f t="shared" si="2"/>
      </c>
      <c r="C70" s="460">
        <f t="shared" si="3"/>
      </c>
      <c r="D70" s="461">
        <f t="shared" si="4"/>
      </c>
      <c r="E70" s="461">
        <f t="shared" si="5"/>
      </c>
      <c r="F70" s="461">
        <f t="shared" si="6"/>
      </c>
      <c r="G70" s="461">
        <f t="shared" si="7"/>
      </c>
      <c r="H70" s="461">
        <f t="shared" si="32"/>
      </c>
      <c r="I70" s="462">
        <f t="shared" si="8"/>
      </c>
      <c r="J70" s="462">
        <f t="shared" si="33"/>
      </c>
      <c r="K70" s="463">
        <f t="shared" si="34"/>
      </c>
      <c r="L70" s="463">
        <f t="shared" si="35"/>
      </c>
      <c r="M70" s="461">
        <f t="shared" si="9"/>
      </c>
      <c r="N70" s="463">
        <f t="shared" si="10"/>
      </c>
      <c r="O70" s="461">
        <f t="shared" si="36"/>
      </c>
      <c r="P70" s="464">
        <f t="shared" si="11"/>
      </c>
      <c r="Q70" s="459"/>
      <c r="R70" s="460">
        <f t="shared" si="12"/>
      </c>
      <c r="S70" s="460">
        <f t="shared" si="13"/>
      </c>
      <c r="T70" s="461">
        <f t="shared" si="14"/>
      </c>
      <c r="U70" s="461">
        <f t="shared" si="15"/>
      </c>
      <c r="V70" s="461">
        <f t="shared" si="16"/>
      </c>
      <c r="W70" s="461">
        <f t="shared" si="17"/>
      </c>
      <c r="X70" s="461">
        <f t="shared" si="37"/>
      </c>
      <c r="Y70" s="462">
        <f t="shared" si="18"/>
      </c>
      <c r="Z70" s="462">
        <f t="shared" si="38"/>
      </c>
      <c r="AA70" s="463">
        <f t="shared" si="39"/>
      </c>
      <c r="AB70" s="463">
        <f t="shared" si="40"/>
      </c>
      <c r="AC70" s="461">
        <f t="shared" si="19"/>
      </c>
      <c r="AD70" s="463">
        <f t="shared" si="20"/>
      </c>
      <c r="AE70" s="461">
        <f t="shared" si="41"/>
      </c>
      <c r="AF70" s="464">
        <f t="shared" si="21"/>
      </c>
      <c r="AG70" s="459"/>
      <c r="AH70" s="460">
        <f t="shared" si="22"/>
      </c>
      <c r="AI70" s="460">
        <f t="shared" si="23"/>
      </c>
      <c r="AJ70" s="461">
        <f t="shared" si="24"/>
      </c>
      <c r="AK70" s="461">
        <f t="shared" si="25"/>
      </c>
      <c r="AL70" s="461">
        <f t="shared" si="26"/>
      </c>
      <c r="AM70" s="461">
        <f t="shared" si="27"/>
      </c>
      <c r="AN70" s="461">
        <f t="shared" si="42"/>
      </c>
      <c r="AO70" s="462">
        <f t="shared" si="28"/>
      </c>
      <c r="AP70" s="462">
        <f t="shared" si="43"/>
      </c>
      <c r="AQ70" s="463">
        <f t="shared" si="44"/>
      </c>
      <c r="AR70" s="463">
        <f t="shared" si="45"/>
      </c>
      <c r="AS70" s="466">
        <f t="shared" si="29"/>
      </c>
      <c r="AT70" s="466">
        <f t="shared" si="30"/>
      </c>
      <c r="AU70" s="466">
        <f t="shared" si="46"/>
      </c>
      <c r="AV70" s="467">
        <f t="shared" si="31"/>
      </c>
    </row>
    <row r="71" ht="15" customHeight="1" thickTop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password="D2C3" sheet="1" objects="1" scenarios="1" formatCells="0" formatColumns="0" formatRows="0"/>
  <mergeCells count="6">
    <mergeCell ref="AG16:AV16"/>
    <mergeCell ref="AG1:AV1"/>
    <mergeCell ref="A1:P1"/>
    <mergeCell ref="A16:P16"/>
    <mergeCell ref="Q16:AF16"/>
    <mergeCell ref="Q1:AF1"/>
  </mergeCells>
  <printOptions/>
  <pageMargins left="0.75" right="0.75" top="1" bottom="1" header="0.5" footer="0.5"/>
  <pageSetup fitToWidth="3" fitToHeight="1" horizontalDpi="600" verticalDpi="600" orientation="portrait" scale="54" r:id="rId3"/>
  <headerFooter alignWithMargins="0">
    <oddFooter>&amp;L&amp;F, &amp;A&amp;R&amp;D, &amp;T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AV79"/>
  <sheetViews>
    <sheetView zoomScale="75" zoomScaleNormal="75" workbookViewId="0" topLeftCell="A1">
      <selection activeCell="A1" sqref="A1:P1"/>
    </sheetView>
  </sheetViews>
  <sheetFormatPr defaultColWidth="12.7109375" defaultRowHeight="12.75"/>
  <cols>
    <col min="1" max="50" width="10.00390625" style="360" customWidth="1"/>
    <col min="51" max="16384" width="12.7109375" style="360" customWidth="1"/>
  </cols>
  <sheetData>
    <row r="1" spans="1:48" s="358" customFormat="1" ht="30" customHeight="1" thickBot="1" thickTop="1">
      <c r="A1" s="576" t="s">
        <v>507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8"/>
      <c r="Q1" s="576" t="s">
        <v>507</v>
      </c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8"/>
      <c r="AG1" s="579" t="s">
        <v>507</v>
      </c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1"/>
    </row>
    <row r="2" spans="1:48" s="401" customFormat="1" ht="15" customHeight="1" thickTop="1">
      <c r="A2" s="448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507"/>
      <c r="Q2" s="448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507"/>
      <c r="AG2" s="448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507"/>
    </row>
    <row r="3" spans="1:48" s="401" customFormat="1" ht="15" customHeight="1">
      <c r="A3" s="448"/>
      <c r="B3" s="361" t="s">
        <v>434</v>
      </c>
      <c r="C3" s="362"/>
      <c r="D3" s="362"/>
      <c r="E3" s="362"/>
      <c r="F3" s="362"/>
      <c r="G3" s="362"/>
      <c r="H3" s="362"/>
      <c r="I3" s="361" t="s">
        <v>435</v>
      </c>
      <c r="J3" s="362"/>
      <c r="K3" s="362"/>
      <c r="L3" s="363"/>
      <c r="M3" s="362"/>
      <c r="N3" s="364"/>
      <c r="O3" s="402"/>
      <c r="P3" s="507"/>
      <c r="Q3" s="448"/>
      <c r="R3" s="361" t="s">
        <v>434</v>
      </c>
      <c r="S3" s="362"/>
      <c r="T3" s="362"/>
      <c r="U3" s="362"/>
      <c r="V3" s="362"/>
      <c r="W3" s="362"/>
      <c r="X3" s="362"/>
      <c r="Y3" s="361" t="s">
        <v>435</v>
      </c>
      <c r="Z3" s="362"/>
      <c r="AA3" s="362"/>
      <c r="AB3" s="363"/>
      <c r="AC3" s="362"/>
      <c r="AD3" s="364"/>
      <c r="AE3" s="402"/>
      <c r="AF3" s="507"/>
      <c r="AG3" s="448"/>
      <c r="AH3" s="361" t="s">
        <v>434</v>
      </c>
      <c r="AI3" s="362"/>
      <c r="AJ3" s="362"/>
      <c r="AK3" s="362"/>
      <c r="AL3" s="362"/>
      <c r="AM3" s="362"/>
      <c r="AN3" s="362"/>
      <c r="AO3" s="361" t="s">
        <v>435</v>
      </c>
      <c r="AP3" s="362"/>
      <c r="AQ3" s="362"/>
      <c r="AR3" s="363"/>
      <c r="AS3" s="362"/>
      <c r="AT3" s="364"/>
      <c r="AU3" s="402"/>
      <c r="AV3" s="507"/>
    </row>
    <row r="4" spans="1:48" s="401" customFormat="1" ht="15" customHeight="1">
      <c r="A4" s="448"/>
      <c r="B4" s="362"/>
      <c r="C4" s="362" t="s">
        <v>13</v>
      </c>
      <c r="D4" s="362"/>
      <c r="E4" s="363" t="s">
        <v>15</v>
      </c>
      <c r="F4" s="365"/>
      <c r="G4" s="385" t="s">
        <v>436</v>
      </c>
      <c r="H4" s="362"/>
      <c r="I4" s="362"/>
      <c r="J4" s="362" t="s">
        <v>437</v>
      </c>
      <c r="K4" s="362"/>
      <c r="L4" s="363" t="s">
        <v>438</v>
      </c>
      <c r="M4" s="403"/>
      <c r="N4" s="385" t="s">
        <v>436</v>
      </c>
      <c r="O4" s="402"/>
      <c r="P4" s="507"/>
      <c r="Q4" s="448"/>
      <c r="R4" s="362"/>
      <c r="S4" s="362" t="s">
        <v>13</v>
      </c>
      <c r="T4" s="362"/>
      <c r="U4" s="363" t="s">
        <v>15</v>
      </c>
      <c r="V4" s="404">
        <f aca="true" t="shared" si="0" ref="V4:V9">IF(F4="","",F4)</f>
      </c>
      <c r="W4" s="385" t="s">
        <v>436</v>
      </c>
      <c r="X4" s="362"/>
      <c r="Y4" s="362"/>
      <c r="Z4" s="362" t="s">
        <v>437</v>
      </c>
      <c r="AA4" s="362"/>
      <c r="AB4" s="363" t="s">
        <v>438</v>
      </c>
      <c r="AC4" s="404">
        <f>IF(M4="","",M4)</f>
      </c>
      <c r="AD4" s="385" t="s">
        <v>436</v>
      </c>
      <c r="AE4" s="402"/>
      <c r="AF4" s="507"/>
      <c r="AG4" s="448"/>
      <c r="AH4" s="362"/>
      <c r="AI4" s="362" t="s">
        <v>13</v>
      </c>
      <c r="AJ4" s="362"/>
      <c r="AK4" s="363" t="s">
        <v>15</v>
      </c>
      <c r="AL4" s="404">
        <f aca="true" t="shared" si="1" ref="AL4:AL9">IF(F4="","",F4)</f>
      </c>
      <c r="AM4" s="385" t="s">
        <v>436</v>
      </c>
      <c r="AN4" s="362"/>
      <c r="AO4" s="362"/>
      <c r="AP4" s="362" t="s">
        <v>437</v>
      </c>
      <c r="AQ4" s="362"/>
      <c r="AR4" s="363" t="s">
        <v>438</v>
      </c>
      <c r="AS4" s="404">
        <f>IF(M4="","",M4)</f>
      </c>
      <c r="AT4" s="385" t="s">
        <v>436</v>
      </c>
      <c r="AU4" s="402"/>
      <c r="AV4" s="507"/>
    </row>
    <row r="5" spans="1:48" s="401" customFormat="1" ht="15" customHeight="1">
      <c r="A5" s="448"/>
      <c r="B5" s="362"/>
      <c r="C5" s="362" t="s">
        <v>17</v>
      </c>
      <c r="D5" s="362"/>
      <c r="E5" s="363" t="s">
        <v>18</v>
      </c>
      <c r="F5" s="368"/>
      <c r="G5" s="385" t="s">
        <v>1</v>
      </c>
      <c r="H5" s="362"/>
      <c r="I5" s="362"/>
      <c r="J5" s="362" t="s">
        <v>439</v>
      </c>
      <c r="K5" s="362"/>
      <c r="L5" s="363" t="s">
        <v>103</v>
      </c>
      <c r="M5" s="405">
        <f>IF(M4="","",F4+(1+F5^2)^0.5*M4+(1+F6^2)^0.5*M4)</f>
      </c>
      <c r="N5" s="385" t="s">
        <v>1</v>
      </c>
      <c r="O5" s="402"/>
      <c r="P5" s="507"/>
      <c r="Q5" s="448"/>
      <c r="R5" s="362"/>
      <c r="S5" s="362" t="s">
        <v>17</v>
      </c>
      <c r="T5" s="362"/>
      <c r="U5" s="363" t="s">
        <v>18</v>
      </c>
      <c r="V5" s="404">
        <f t="shared" si="0"/>
      </c>
      <c r="W5" s="385" t="s">
        <v>1</v>
      </c>
      <c r="X5" s="362"/>
      <c r="Y5" s="362"/>
      <c r="Z5" s="362" t="s">
        <v>439</v>
      </c>
      <c r="AA5" s="362"/>
      <c r="AB5" s="363" t="s">
        <v>103</v>
      </c>
      <c r="AC5" s="405">
        <f>M5</f>
      </c>
      <c r="AD5" s="385" t="s">
        <v>1</v>
      </c>
      <c r="AE5" s="402"/>
      <c r="AF5" s="507"/>
      <c r="AG5" s="448"/>
      <c r="AH5" s="362"/>
      <c r="AI5" s="362" t="s">
        <v>17</v>
      </c>
      <c r="AJ5" s="362"/>
      <c r="AK5" s="363" t="s">
        <v>18</v>
      </c>
      <c r="AL5" s="404">
        <f t="shared" si="1"/>
      </c>
      <c r="AM5" s="385" t="s">
        <v>1</v>
      </c>
      <c r="AN5" s="362"/>
      <c r="AO5" s="362"/>
      <c r="AP5" s="362" t="s">
        <v>439</v>
      </c>
      <c r="AQ5" s="362"/>
      <c r="AR5" s="363" t="s">
        <v>103</v>
      </c>
      <c r="AS5" s="405">
        <f>M5</f>
      </c>
      <c r="AT5" s="385" t="s">
        <v>1</v>
      </c>
      <c r="AU5" s="402"/>
      <c r="AV5" s="507"/>
    </row>
    <row r="6" spans="1:48" s="401" customFormat="1" ht="15" customHeight="1">
      <c r="A6" s="448"/>
      <c r="B6" s="362"/>
      <c r="C6" s="362" t="s">
        <v>19</v>
      </c>
      <c r="D6" s="362"/>
      <c r="E6" s="363" t="s">
        <v>20</v>
      </c>
      <c r="F6" s="368"/>
      <c r="G6" s="385" t="s">
        <v>1</v>
      </c>
      <c r="H6" s="362"/>
      <c r="I6" s="362"/>
      <c r="J6" s="362" t="s">
        <v>440</v>
      </c>
      <c r="K6" s="362"/>
      <c r="L6" s="363" t="s">
        <v>441</v>
      </c>
      <c r="M6" s="405">
        <f>IF(M4="","",M4*(F4+(F5+F6)*M4+F4)/2)</f>
      </c>
      <c r="N6" s="385" t="s">
        <v>28</v>
      </c>
      <c r="O6" s="402"/>
      <c r="P6" s="507"/>
      <c r="Q6" s="448"/>
      <c r="R6" s="362"/>
      <c r="S6" s="362" t="s">
        <v>19</v>
      </c>
      <c r="T6" s="362"/>
      <c r="U6" s="363" t="s">
        <v>20</v>
      </c>
      <c r="V6" s="404">
        <f t="shared" si="0"/>
      </c>
      <c r="W6" s="385" t="s">
        <v>1</v>
      </c>
      <c r="X6" s="362"/>
      <c r="Y6" s="362"/>
      <c r="Z6" s="362" t="s">
        <v>440</v>
      </c>
      <c r="AA6" s="362"/>
      <c r="AB6" s="363" t="s">
        <v>441</v>
      </c>
      <c r="AC6" s="405">
        <f>M6</f>
      </c>
      <c r="AD6" s="385" t="s">
        <v>28</v>
      </c>
      <c r="AE6" s="402"/>
      <c r="AF6" s="507"/>
      <c r="AG6" s="448"/>
      <c r="AH6" s="362"/>
      <c r="AI6" s="362" t="s">
        <v>19</v>
      </c>
      <c r="AJ6" s="362"/>
      <c r="AK6" s="363" t="s">
        <v>20</v>
      </c>
      <c r="AL6" s="404">
        <f t="shared" si="1"/>
      </c>
      <c r="AM6" s="385" t="s">
        <v>1</v>
      </c>
      <c r="AN6" s="362"/>
      <c r="AO6" s="362"/>
      <c r="AP6" s="362" t="s">
        <v>440</v>
      </c>
      <c r="AQ6" s="362"/>
      <c r="AR6" s="363" t="s">
        <v>441</v>
      </c>
      <c r="AS6" s="405">
        <f>M6</f>
      </c>
      <c r="AT6" s="385" t="s">
        <v>28</v>
      </c>
      <c r="AU6" s="402"/>
      <c r="AV6" s="507"/>
    </row>
    <row r="7" spans="1:48" s="401" customFormat="1" ht="15" customHeight="1">
      <c r="A7" s="448"/>
      <c r="B7" s="362"/>
      <c r="C7" s="362" t="s">
        <v>442</v>
      </c>
      <c r="D7" s="362"/>
      <c r="E7" s="363" t="s">
        <v>424</v>
      </c>
      <c r="F7" s="370"/>
      <c r="G7" s="385"/>
      <c r="H7" s="362"/>
      <c r="I7" s="362"/>
      <c r="J7" s="362" t="s">
        <v>29</v>
      </c>
      <c r="K7" s="362"/>
      <c r="L7" s="363" t="s">
        <v>113</v>
      </c>
      <c r="M7" s="405">
        <f>IF(M4="","",M6/M5)</f>
      </c>
      <c r="N7" s="385" t="s">
        <v>436</v>
      </c>
      <c r="O7" s="402"/>
      <c r="P7" s="507"/>
      <c r="Q7" s="448"/>
      <c r="R7" s="362"/>
      <c r="S7" s="362" t="s">
        <v>442</v>
      </c>
      <c r="T7" s="362"/>
      <c r="U7" s="363" t="s">
        <v>424</v>
      </c>
      <c r="V7" s="437">
        <f t="shared" si="0"/>
      </c>
      <c r="W7" s="385"/>
      <c r="X7" s="362"/>
      <c r="Y7" s="362"/>
      <c r="Z7" s="362" t="s">
        <v>29</v>
      </c>
      <c r="AA7" s="362"/>
      <c r="AB7" s="363" t="s">
        <v>113</v>
      </c>
      <c r="AC7" s="405">
        <f>M7</f>
      </c>
      <c r="AD7" s="385" t="s">
        <v>436</v>
      </c>
      <c r="AE7" s="402"/>
      <c r="AF7" s="507"/>
      <c r="AG7" s="448"/>
      <c r="AH7" s="362"/>
      <c r="AI7" s="362" t="s">
        <v>442</v>
      </c>
      <c r="AJ7" s="362"/>
      <c r="AK7" s="363" t="s">
        <v>424</v>
      </c>
      <c r="AL7" s="437">
        <f t="shared" si="1"/>
      </c>
      <c r="AM7" s="385"/>
      <c r="AN7" s="362"/>
      <c r="AO7" s="362"/>
      <c r="AP7" s="362" t="s">
        <v>29</v>
      </c>
      <c r="AQ7" s="362"/>
      <c r="AR7" s="363" t="s">
        <v>113</v>
      </c>
      <c r="AS7" s="405">
        <f>M7</f>
      </c>
      <c r="AT7" s="385" t="s">
        <v>436</v>
      </c>
      <c r="AU7" s="402"/>
      <c r="AV7" s="507"/>
    </row>
    <row r="8" spans="1:48" s="401" customFormat="1" ht="15" customHeight="1">
      <c r="A8" s="448"/>
      <c r="B8" s="362"/>
      <c r="C8" s="362" t="s">
        <v>443</v>
      </c>
      <c r="D8" s="362"/>
      <c r="E8" s="363" t="s">
        <v>444</v>
      </c>
      <c r="F8" s="372"/>
      <c r="G8" s="385" t="s">
        <v>1</v>
      </c>
      <c r="H8" s="362"/>
      <c r="I8" s="362"/>
      <c r="J8" s="362" t="s">
        <v>445</v>
      </c>
      <c r="K8" s="362"/>
      <c r="L8" s="363" t="s">
        <v>36</v>
      </c>
      <c r="M8" s="405">
        <f>IF(M4="","",((($F$5+$F$6)*M4+$F$4)*$F$9^2/(32.2*M6^3))^0.5)</f>
      </c>
      <c r="N8" s="385"/>
      <c r="O8" s="402"/>
      <c r="P8" s="507"/>
      <c r="Q8" s="448"/>
      <c r="R8" s="362"/>
      <c r="S8" s="362" t="s">
        <v>443</v>
      </c>
      <c r="T8" s="362"/>
      <c r="U8" s="363" t="s">
        <v>444</v>
      </c>
      <c r="V8" s="438">
        <f t="shared" si="0"/>
      </c>
      <c r="W8" s="385" t="s">
        <v>1</v>
      </c>
      <c r="X8" s="362"/>
      <c r="Y8" s="362"/>
      <c r="Z8" s="362" t="s">
        <v>445</v>
      </c>
      <c r="AA8" s="362"/>
      <c r="AB8" s="363" t="s">
        <v>36</v>
      </c>
      <c r="AC8" s="405">
        <f>M8</f>
      </c>
      <c r="AD8" s="385"/>
      <c r="AE8" s="402"/>
      <c r="AF8" s="507"/>
      <c r="AG8" s="448"/>
      <c r="AH8" s="362"/>
      <c r="AI8" s="362" t="s">
        <v>443</v>
      </c>
      <c r="AJ8" s="362"/>
      <c r="AK8" s="363" t="s">
        <v>444</v>
      </c>
      <c r="AL8" s="438">
        <f t="shared" si="1"/>
      </c>
      <c r="AM8" s="385" t="s">
        <v>1</v>
      </c>
      <c r="AN8" s="362"/>
      <c r="AO8" s="362"/>
      <c r="AP8" s="362" t="s">
        <v>445</v>
      </c>
      <c r="AQ8" s="362"/>
      <c r="AR8" s="363" t="s">
        <v>36</v>
      </c>
      <c r="AS8" s="405">
        <f>M8</f>
      </c>
      <c r="AT8" s="385"/>
      <c r="AU8" s="402"/>
      <c r="AV8" s="507"/>
    </row>
    <row r="9" spans="1:48" s="401" customFormat="1" ht="15" customHeight="1">
      <c r="A9" s="448"/>
      <c r="B9" s="362"/>
      <c r="C9" s="362" t="s">
        <v>446</v>
      </c>
      <c r="D9" s="362"/>
      <c r="E9" s="363" t="s">
        <v>102</v>
      </c>
      <c r="F9" s="373"/>
      <c r="G9" s="385" t="s">
        <v>4</v>
      </c>
      <c r="H9" s="362"/>
      <c r="I9" s="362"/>
      <c r="J9" s="362" t="s">
        <v>447</v>
      </c>
      <c r="K9" s="362"/>
      <c r="L9" s="363" t="s">
        <v>102</v>
      </c>
      <c r="M9" s="406">
        <f>IF(M4="","",1.49/F7*M7^0.667*F8^0.5*M6)</f>
      </c>
      <c r="N9" s="385" t="s">
        <v>1</v>
      </c>
      <c r="O9" s="402"/>
      <c r="P9" s="507"/>
      <c r="Q9" s="448"/>
      <c r="R9" s="362"/>
      <c r="S9" s="362" t="s">
        <v>446</v>
      </c>
      <c r="T9" s="362"/>
      <c r="U9" s="363" t="s">
        <v>102</v>
      </c>
      <c r="V9" s="404">
        <f t="shared" si="0"/>
      </c>
      <c r="W9" s="385" t="s">
        <v>4</v>
      </c>
      <c r="X9" s="362"/>
      <c r="Y9" s="362"/>
      <c r="Z9" s="362" t="s">
        <v>447</v>
      </c>
      <c r="AA9" s="362"/>
      <c r="AB9" s="363" t="s">
        <v>102</v>
      </c>
      <c r="AC9" s="406">
        <f>M9</f>
      </c>
      <c r="AD9" s="385" t="s">
        <v>1</v>
      </c>
      <c r="AE9" s="402"/>
      <c r="AF9" s="507"/>
      <c r="AG9" s="448"/>
      <c r="AH9" s="362"/>
      <c r="AI9" s="362" t="s">
        <v>446</v>
      </c>
      <c r="AJ9" s="362"/>
      <c r="AK9" s="363" t="s">
        <v>102</v>
      </c>
      <c r="AL9" s="404">
        <f t="shared" si="1"/>
      </c>
      <c r="AM9" s="385" t="s">
        <v>4</v>
      </c>
      <c r="AN9" s="362"/>
      <c r="AO9" s="362"/>
      <c r="AP9" s="362" t="s">
        <v>447</v>
      </c>
      <c r="AQ9" s="362"/>
      <c r="AR9" s="363" t="s">
        <v>102</v>
      </c>
      <c r="AS9" s="406">
        <f>M9</f>
      </c>
      <c r="AT9" s="385" t="s">
        <v>1</v>
      </c>
      <c r="AU9" s="402"/>
      <c r="AV9" s="507"/>
    </row>
    <row r="10" spans="1:48" s="401" customFormat="1" ht="15" customHeight="1">
      <c r="A10" s="448"/>
      <c r="B10" s="362"/>
      <c r="C10" s="362"/>
      <c r="D10" s="362"/>
      <c r="E10" s="362"/>
      <c r="F10" s="362"/>
      <c r="G10" s="362"/>
      <c r="H10" s="362"/>
      <c r="I10" s="361" t="s">
        <v>448</v>
      </c>
      <c r="J10" s="362"/>
      <c r="K10" s="362"/>
      <c r="L10" s="363"/>
      <c r="M10" s="362"/>
      <c r="N10" s="385"/>
      <c r="O10" s="402"/>
      <c r="P10" s="507"/>
      <c r="Q10" s="448"/>
      <c r="R10" s="362"/>
      <c r="S10" s="362"/>
      <c r="T10" s="362"/>
      <c r="U10" s="362"/>
      <c r="V10" s="362"/>
      <c r="W10" s="362"/>
      <c r="X10" s="362"/>
      <c r="Y10" s="361" t="s">
        <v>448</v>
      </c>
      <c r="Z10" s="362"/>
      <c r="AA10" s="362"/>
      <c r="AB10" s="363"/>
      <c r="AC10" s="362"/>
      <c r="AD10" s="385"/>
      <c r="AE10" s="402"/>
      <c r="AF10" s="507"/>
      <c r="AG10" s="448"/>
      <c r="AH10" s="362"/>
      <c r="AI10" s="362"/>
      <c r="AJ10" s="362"/>
      <c r="AK10" s="362"/>
      <c r="AL10" s="362"/>
      <c r="AM10" s="362"/>
      <c r="AN10" s="362"/>
      <c r="AO10" s="361" t="s">
        <v>448</v>
      </c>
      <c r="AP10" s="362"/>
      <c r="AQ10" s="362"/>
      <c r="AR10" s="363"/>
      <c r="AS10" s="362"/>
      <c r="AT10" s="385"/>
      <c r="AU10" s="402"/>
      <c r="AV10" s="507"/>
    </row>
    <row r="11" spans="1:48" s="401" customFormat="1" ht="15" customHeight="1">
      <c r="A11" s="448"/>
      <c r="B11" s="362"/>
      <c r="C11" s="362"/>
      <c r="D11" s="362"/>
      <c r="E11" s="362"/>
      <c r="F11" s="362"/>
      <c r="G11" s="362"/>
      <c r="H11" s="361"/>
      <c r="I11" s="361"/>
      <c r="J11" s="362" t="s">
        <v>449</v>
      </c>
      <c r="K11" s="362"/>
      <c r="L11" s="363" t="s">
        <v>314</v>
      </c>
      <c r="M11" s="403"/>
      <c r="N11" s="385" t="s">
        <v>436</v>
      </c>
      <c r="O11" s="402"/>
      <c r="P11" s="507"/>
      <c r="Q11" s="448"/>
      <c r="R11" s="362"/>
      <c r="S11" s="362"/>
      <c r="T11" s="362"/>
      <c r="U11" s="362"/>
      <c r="V11" s="362"/>
      <c r="W11" s="362"/>
      <c r="X11" s="361"/>
      <c r="Y11" s="361"/>
      <c r="Z11" s="362" t="s">
        <v>449</v>
      </c>
      <c r="AA11" s="362"/>
      <c r="AB11" s="363" t="s">
        <v>314</v>
      </c>
      <c r="AC11" s="404">
        <f>IF(M11="","",M11)</f>
      </c>
      <c r="AD11" s="385" t="s">
        <v>436</v>
      </c>
      <c r="AE11" s="402"/>
      <c r="AF11" s="507"/>
      <c r="AG11" s="448"/>
      <c r="AH11" s="362"/>
      <c r="AI11" s="362"/>
      <c r="AJ11" s="362"/>
      <c r="AK11" s="362"/>
      <c r="AL11" s="362"/>
      <c r="AM11" s="362"/>
      <c r="AN11" s="361"/>
      <c r="AO11" s="361"/>
      <c r="AP11" s="362" t="s">
        <v>449</v>
      </c>
      <c r="AQ11" s="362"/>
      <c r="AR11" s="363" t="s">
        <v>314</v>
      </c>
      <c r="AS11" s="404">
        <f>IF(M11="","",M11)</f>
      </c>
      <c r="AT11" s="385" t="s">
        <v>436</v>
      </c>
      <c r="AU11" s="402"/>
      <c r="AV11" s="507"/>
    </row>
    <row r="12" spans="1:48" s="401" customFormat="1" ht="15" customHeight="1">
      <c r="A12" s="448"/>
      <c r="B12" s="362"/>
      <c r="C12" s="362"/>
      <c r="D12" s="362"/>
      <c r="E12" s="362"/>
      <c r="F12" s="362"/>
      <c r="G12" s="362"/>
      <c r="H12" s="361"/>
      <c r="I12" s="361"/>
      <c r="J12" s="362" t="s">
        <v>38</v>
      </c>
      <c r="K12" s="362"/>
      <c r="L12" s="363" t="s">
        <v>450</v>
      </c>
      <c r="M12" s="405">
        <f>IF(M4="","",F4+(F6+F5)*M11)</f>
      </c>
      <c r="N12" s="385" t="s">
        <v>436</v>
      </c>
      <c r="O12" s="402"/>
      <c r="P12" s="507"/>
      <c r="Q12" s="448"/>
      <c r="R12" s="362"/>
      <c r="S12" s="362"/>
      <c r="T12" s="362"/>
      <c r="U12" s="362"/>
      <c r="V12" s="362"/>
      <c r="W12" s="362"/>
      <c r="X12" s="361"/>
      <c r="Y12" s="361"/>
      <c r="Z12" s="362" t="s">
        <v>38</v>
      </c>
      <c r="AA12" s="362"/>
      <c r="AB12" s="363" t="s">
        <v>450</v>
      </c>
      <c r="AC12" s="405">
        <f>M12</f>
      </c>
      <c r="AD12" s="385" t="s">
        <v>436</v>
      </c>
      <c r="AE12" s="402"/>
      <c r="AF12" s="507"/>
      <c r="AG12" s="448"/>
      <c r="AH12" s="362"/>
      <c r="AI12" s="362"/>
      <c r="AJ12" s="362"/>
      <c r="AK12" s="362"/>
      <c r="AL12" s="362"/>
      <c r="AM12" s="362"/>
      <c r="AN12" s="361"/>
      <c r="AO12" s="361"/>
      <c r="AP12" s="362" t="s">
        <v>38</v>
      </c>
      <c r="AQ12" s="362"/>
      <c r="AR12" s="363" t="s">
        <v>450</v>
      </c>
      <c r="AS12" s="405">
        <f>M12</f>
      </c>
      <c r="AT12" s="385" t="s">
        <v>436</v>
      </c>
      <c r="AU12" s="402"/>
      <c r="AV12" s="507"/>
    </row>
    <row r="13" spans="1:48" s="401" customFormat="1" ht="15" customHeight="1">
      <c r="A13" s="448"/>
      <c r="B13" s="362"/>
      <c r="C13" s="362"/>
      <c r="D13" s="362"/>
      <c r="E13" s="362"/>
      <c r="F13" s="362"/>
      <c r="G13" s="362"/>
      <c r="H13" s="361"/>
      <c r="I13" s="361"/>
      <c r="J13" s="362" t="s">
        <v>40</v>
      </c>
      <c r="K13" s="362"/>
      <c r="L13" s="363" t="s">
        <v>451</v>
      </c>
      <c r="M13" s="405">
        <f>IF(M4="","",M11*(F4+(F5+F6)*M11+F4)/2)</f>
      </c>
      <c r="N13" s="385" t="s">
        <v>28</v>
      </c>
      <c r="O13" s="402"/>
      <c r="P13" s="507"/>
      <c r="Q13" s="448"/>
      <c r="R13" s="362"/>
      <c r="S13" s="362"/>
      <c r="T13" s="362"/>
      <c r="U13" s="362"/>
      <c r="V13" s="362"/>
      <c r="W13" s="362"/>
      <c r="X13" s="361"/>
      <c r="Y13" s="361"/>
      <c r="Z13" s="362" t="s">
        <v>40</v>
      </c>
      <c r="AA13" s="362"/>
      <c r="AB13" s="363" t="s">
        <v>451</v>
      </c>
      <c r="AC13" s="405">
        <f>M13</f>
      </c>
      <c r="AD13" s="385" t="s">
        <v>28</v>
      </c>
      <c r="AE13" s="402"/>
      <c r="AF13" s="507"/>
      <c r="AG13" s="448"/>
      <c r="AH13" s="362"/>
      <c r="AI13" s="362"/>
      <c r="AJ13" s="362"/>
      <c r="AK13" s="362"/>
      <c r="AL13" s="362"/>
      <c r="AM13" s="362"/>
      <c r="AN13" s="361"/>
      <c r="AO13" s="361"/>
      <c r="AP13" s="362" t="s">
        <v>40</v>
      </c>
      <c r="AQ13" s="362"/>
      <c r="AR13" s="363" t="s">
        <v>451</v>
      </c>
      <c r="AS13" s="405">
        <f>M13</f>
      </c>
      <c r="AT13" s="385" t="s">
        <v>28</v>
      </c>
      <c r="AU13" s="402"/>
      <c r="AV13" s="507"/>
    </row>
    <row r="14" spans="1:48" s="401" customFormat="1" ht="15" customHeight="1">
      <c r="A14" s="448"/>
      <c r="B14" s="362"/>
      <c r="C14" s="362"/>
      <c r="D14" s="362"/>
      <c r="E14" s="362"/>
      <c r="F14" s="362"/>
      <c r="G14" s="362"/>
      <c r="H14" s="361"/>
      <c r="I14" s="361"/>
      <c r="J14" s="362" t="s">
        <v>445</v>
      </c>
      <c r="K14" s="362"/>
      <c r="L14" s="363" t="s">
        <v>36</v>
      </c>
      <c r="M14" s="405">
        <f>IF(M4="","",((F9^2*M12)/(32.2*M13^3))^0.5)</f>
      </c>
      <c r="N14" s="385"/>
      <c r="O14" s="402"/>
      <c r="P14" s="507"/>
      <c r="Q14" s="448"/>
      <c r="R14" s="362"/>
      <c r="S14" s="362"/>
      <c r="T14" s="362"/>
      <c r="U14" s="362"/>
      <c r="V14" s="362"/>
      <c r="W14" s="362"/>
      <c r="X14" s="361"/>
      <c r="Y14" s="361"/>
      <c r="Z14" s="362" t="s">
        <v>445</v>
      </c>
      <c r="AA14" s="362"/>
      <c r="AB14" s="363" t="s">
        <v>36</v>
      </c>
      <c r="AC14" s="405">
        <f>M14</f>
      </c>
      <c r="AD14" s="364"/>
      <c r="AE14" s="402"/>
      <c r="AF14" s="507"/>
      <c r="AG14" s="448"/>
      <c r="AH14" s="362"/>
      <c r="AI14" s="362"/>
      <c r="AJ14" s="362"/>
      <c r="AK14" s="362"/>
      <c r="AL14" s="362"/>
      <c r="AM14" s="362"/>
      <c r="AN14" s="361"/>
      <c r="AO14" s="361"/>
      <c r="AP14" s="362" t="s">
        <v>445</v>
      </c>
      <c r="AQ14" s="362"/>
      <c r="AR14" s="363" t="s">
        <v>36</v>
      </c>
      <c r="AS14" s="405">
        <f>M14</f>
      </c>
      <c r="AT14" s="385"/>
      <c r="AU14" s="402"/>
      <c r="AV14" s="507"/>
    </row>
    <row r="15" spans="1:48" s="401" customFormat="1" ht="15" customHeight="1">
      <c r="A15" s="448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507"/>
      <c r="Q15" s="448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507"/>
      <c r="AG15" s="448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507"/>
    </row>
    <row r="16" spans="1:48" ht="24.75" customHeight="1">
      <c r="A16" s="573" t="s">
        <v>452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5"/>
      <c r="Q16" s="573" t="s">
        <v>508</v>
      </c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5"/>
      <c r="AG16" s="573" t="s">
        <v>509</v>
      </c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5"/>
    </row>
    <row r="17" spans="1:48" ht="15" customHeight="1">
      <c r="A17" s="446"/>
      <c r="B17" s="381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447"/>
      <c r="Q17" s="446"/>
      <c r="R17" s="362"/>
      <c r="S17" s="381"/>
      <c r="T17" s="383"/>
      <c r="U17" s="362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447"/>
      <c r="AG17" s="446"/>
      <c r="AH17" s="359"/>
      <c r="AI17" s="362"/>
      <c r="AJ17" s="381"/>
      <c r="AK17" s="383"/>
      <c r="AL17" s="362"/>
      <c r="AM17" s="359"/>
      <c r="AN17" s="409"/>
      <c r="AO17" s="359"/>
      <c r="AP17" s="359"/>
      <c r="AQ17" s="359"/>
      <c r="AR17" s="359"/>
      <c r="AS17" s="359"/>
      <c r="AT17" s="359"/>
      <c r="AU17" s="359"/>
      <c r="AV17" s="447"/>
    </row>
    <row r="18" spans="1:48" ht="15" customHeight="1">
      <c r="A18" s="446"/>
      <c r="B18" s="361" t="s">
        <v>455</v>
      </c>
      <c r="C18" s="362"/>
      <c r="D18" s="362"/>
      <c r="E18" s="362"/>
      <c r="F18" s="362"/>
      <c r="G18" s="362"/>
      <c r="H18" s="359"/>
      <c r="I18" s="359"/>
      <c r="J18" s="359"/>
      <c r="K18" s="359"/>
      <c r="L18" s="359"/>
      <c r="M18" s="359"/>
      <c r="N18" s="359"/>
      <c r="O18" s="359"/>
      <c r="P18" s="447"/>
      <c r="Q18" s="446"/>
      <c r="R18" s="361" t="s">
        <v>455</v>
      </c>
      <c r="S18" s="362"/>
      <c r="T18" s="362"/>
      <c r="U18" s="362"/>
      <c r="V18" s="362"/>
      <c r="W18" s="362"/>
      <c r="X18" s="359"/>
      <c r="Y18" s="359"/>
      <c r="Z18" s="359"/>
      <c r="AA18" s="359"/>
      <c r="AB18" s="359"/>
      <c r="AC18" s="359"/>
      <c r="AD18" s="359"/>
      <c r="AE18" s="359"/>
      <c r="AF18" s="447"/>
      <c r="AG18" s="446"/>
      <c r="AH18" s="361" t="s">
        <v>455</v>
      </c>
      <c r="AI18" s="409"/>
      <c r="AJ18" s="362"/>
      <c r="AK18" s="362"/>
      <c r="AL18" s="362"/>
      <c r="AM18" s="362"/>
      <c r="AN18" s="409"/>
      <c r="AO18" s="359"/>
      <c r="AP18" s="359"/>
      <c r="AQ18" s="359"/>
      <c r="AR18" s="359"/>
      <c r="AS18" s="359"/>
      <c r="AT18" s="359"/>
      <c r="AU18" s="359"/>
      <c r="AV18" s="447"/>
    </row>
    <row r="19" spans="1:48" ht="15" customHeight="1">
      <c r="A19" s="448"/>
      <c r="B19" s="361" t="s">
        <v>0</v>
      </c>
      <c r="C19" s="362"/>
      <c r="D19" s="362"/>
      <c r="E19" s="363" t="s">
        <v>456</v>
      </c>
      <c r="F19" s="407"/>
      <c r="G19" s="385" t="s">
        <v>436</v>
      </c>
      <c r="H19" s="382"/>
      <c r="I19" s="382"/>
      <c r="J19" s="382"/>
      <c r="K19" s="382"/>
      <c r="L19" s="359"/>
      <c r="M19" s="359"/>
      <c r="N19" s="359"/>
      <c r="O19" s="359"/>
      <c r="P19" s="447"/>
      <c r="Q19" s="446"/>
      <c r="R19" s="361" t="s">
        <v>0</v>
      </c>
      <c r="S19" s="362" t="s">
        <v>457</v>
      </c>
      <c r="T19" s="362"/>
      <c r="U19" s="363"/>
      <c r="V19" s="367">
        <f>IF(M11="","",M11)</f>
      </c>
      <c r="W19" s="385" t="s">
        <v>436</v>
      </c>
      <c r="X19" s="359"/>
      <c r="Y19" s="359"/>
      <c r="Z19" s="359"/>
      <c r="AA19" s="359"/>
      <c r="AB19" s="359"/>
      <c r="AC19" s="359"/>
      <c r="AD19" s="359"/>
      <c r="AE19" s="359"/>
      <c r="AF19" s="447"/>
      <c r="AG19" s="446"/>
      <c r="AH19" s="359"/>
      <c r="AI19" s="362" t="s">
        <v>458</v>
      </c>
      <c r="AJ19" s="362"/>
      <c r="AK19" s="362"/>
      <c r="AL19" s="367">
        <f>IF(M11="","",M11)</f>
      </c>
      <c r="AM19" s="385" t="s">
        <v>436</v>
      </c>
      <c r="AN19" s="409"/>
      <c r="AO19" s="359"/>
      <c r="AP19" s="359"/>
      <c r="AQ19" s="359"/>
      <c r="AR19" s="359"/>
      <c r="AS19" s="359"/>
      <c r="AT19" s="359"/>
      <c r="AU19" s="359"/>
      <c r="AV19" s="447"/>
    </row>
    <row r="20" spans="1:48" ht="15" customHeight="1">
      <c r="A20" s="446"/>
      <c r="B20" s="361"/>
      <c r="E20" s="363" t="s">
        <v>510</v>
      </c>
      <c r="F20" s="408"/>
      <c r="G20" s="385" t="s">
        <v>436</v>
      </c>
      <c r="H20" s="359"/>
      <c r="I20" s="359"/>
      <c r="J20" s="359"/>
      <c r="K20" s="359"/>
      <c r="L20" s="359"/>
      <c r="M20" s="359"/>
      <c r="N20" s="359"/>
      <c r="O20" s="359"/>
      <c r="P20" s="447"/>
      <c r="Q20" s="446"/>
      <c r="R20" s="361"/>
      <c r="S20" s="362" t="s">
        <v>510</v>
      </c>
      <c r="T20" s="362"/>
      <c r="U20" s="363"/>
      <c r="V20" s="368"/>
      <c r="W20" s="385" t="s">
        <v>436</v>
      </c>
      <c r="X20" s="359"/>
      <c r="Y20" s="359"/>
      <c r="Z20" s="359"/>
      <c r="AA20" s="359"/>
      <c r="AB20" s="359"/>
      <c r="AC20" s="359"/>
      <c r="AD20" s="359"/>
      <c r="AE20" s="359"/>
      <c r="AF20" s="447"/>
      <c r="AG20" s="446"/>
      <c r="AH20" s="359"/>
      <c r="AI20" s="362" t="s">
        <v>510</v>
      </c>
      <c r="AJ20" s="362"/>
      <c r="AK20" s="362"/>
      <c r="AL20" s="368"/>
      <c r="AM20" s="385" t="s">
        <v>436</v>
      </c>
      <c r="AN20" s="409"/>
      <c r="AO20" s="359"/>
      <c r="AP20" s="359"/>
      <c r="AQ20" s="359"/>
      <c r="AR20" s="359"/>
      <c r="AS20" s="359"/>
      <c r="AT20" s="359"/>
      <c r="AU20" s="359"/>
      <c r="AV20" s="447"/>
    </row>
    <row r="21" spans="1:48" ht="15" customHeight="1">
      <c r="A21" s="446"/>
      <c r="B21" s="359"/>
      <c r="C21" s="359"/>
      <c r="D21" s="359"/>
      <c r="E21" s="359"/>
      <c r="F21" s="359"/>
      <c r="G21" s="384"/>
      <c r="H21" s="359"/>
      <c r="I21" s="359"/>
      <c r="J21" s="359"/>
      <c r="K21" s="359"/>
      <c r="L21" s="359"/>
      <c r="M21" s="359"/>
      <c r="N21" s="359"/>
      <c r="O21" s="359"/>
      <c r="P21" s="447"/>
      <c r="Q21" s="446"/>
      <c r="R21" s="409"/>
      <c r="S21" s="409"/>
      <c r="T21" s="409"/>
      <c r="U21" s="409"/>
      <c r="V21" s="409"/>
      <c r="W21" s="409"/>
      <c r="X21" s="359"/>
      <c r="Y21" s="359"/>
      <c r="Z21" s="359"/>
      <c r="AA21" s="359"/>
      <c r="AB21" s="359"/>
      <c r="AC21" s="359"/>
      <c r="AD21" s="359"/>
      <c r="AE21" s="359"/>
      <c r="AF21" s="447"/>
      <c r="AG21" s="446"/>
      <c r="AH21" s="359"/>
      <c r="AI21" s="409"/>
      <c r="AJ21" s="409"/>
      <c r="AK21" s="409"/>
      <c r="AL21" s="409"/>
      <c r="AM21" s="409"/>
      <c r="AN21" s="409"/>
      <c r="AO21" s="359"/>
      <c r="AP21" s="359"/>
      <c r="AQ21" s="359"/>
      <c r="AR21" s="359"/>
      <c r="AS21" s="359"/>
      <c r="AT21" s="359"/>
      <c r="AU21" s="359"/>
      <c r="AV21" s="447"/>
    </row>
    <row r="22" spans="1:48" ht="15" customHeight="1">
      <c r="A22" s="446"/>
      <c r="B22" s="359"/>
      <c r="C22" s="359"/>
      <c r="D22" s="359"/>
      <c r="E22" s="359"/>
      <c r="F22" s="359"/>
      <c r="G22" s="384"/>
      <c r="H22" s="359"/>
      <c r="I22" s="359"/>
      <c r="J22" s="359"/>
      <c r="K22" s="359"/>
      <c r="L22" s="359"/>
      <c r="M22" s="359"/>
      <c r="N22" s="359"/>
      <c r="O22" s="359"/>
      <c r="P22" s="447"/>
      <c r="Q22" s="446"/>
      <c r="R22" s="409"/>
      <c r="S22" s="409"/>
      <c r="T22" s="409"/>
      <c r="U22" s="409"/>
      <c r="V22" s="409"/>
      <c r="W22" s="409"/>
      <c r="X22" s="359"/>
      <c r="Y22" s="359"/>
      <c r="Z22" s="359"/>
      <c r="AA22" s="359"/>
      <c r="AB22" s="359"/>
      <c r="AC22" s="359"/>
      <c r="AD22" s="359"/>
      <c r="AE22" s="359"/>
      <c r="AF22" s="447"/>
      <c r="AG22" s="446"/>
      <c r="AH22" s="359"/>
      <c r="AI22" s="409"/>
      <c r="AJ22" s="409"/>
      <c r="AK22" s="409"/>
      <c r="AL22" s="409"/>
      <c r="AM22" s="409"/>
      <c r="AN22" s="409"/>
      <c r="AO22" s="359"/>
      <c r="AP22" s="359"/>
      <c r="AQ22" s="359"/>
      <c r="AR22" s="359"/>
      <c r="AS22" s="359"/>
      <c r="AT22" s="359"/>
      <c r="AU22" s="359"/>
      <c r="AV22" s="447"/>
    </row>
    <row r="23" spans="1:48" ht="15" customHeight="1">
      <c r="A23" s="446"/>
      <c r="B23" s="361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447"/>
      <c r="Q23" s="446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447"/>
      <c r="AG23" s="446"/>
      <c r="AH23" s="410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447"/>
    </row>
    <row r="24" spans="1:48" ht="15" customHeight="1">
      <c r="A24" s="450">
        <v>1</v>
      </c>
      <c r="B24" s="386">
        <v>2</v>
      </c>
      <c r="C24" s="386">
        <v>3</v>
      </c>
      <c r="D24" s="386">
        <v>4</v>
      </c>
      <c r="E24" s="386">
        <v>5</v>
      </c>
      <c r="F24" s="386">
        <v>6</v>
      </c>
      <c r="G24" s="386">
        <v>7</v>
      </c>
      <c r="H24" s="386">
        <v>8</v>
      </c>
      <c r="I24" s="386">
        <v>9</v>
      </c>
      <c r="J24" s="386">
        <v>10</v>
      </c>
      <c r="K24" s="386">
        <v>11</v>
      </c>
      <c r="L24" s="411">
        <v>12</v>
      </c>
      <c r="M24" s="386">
        <v>13</v>
      </c>
      <c r="N24" s="386">
        <v>14</v>
      </c>
      <c r="O24" s="386">
        <v>15</v>
      </c>
      <c r="P24" s="508">
        <v>16</v>
      </c>
      <c r="Q24" s="450">
        <v>1</v>
      </c>
      <c r="R24" s="386">
        <v>2</v>
      </c>
      <c r="S24" s="386">
        <v>3</v>
      </c>
      <c r="T24" s="386">
        <v>4</v>
      </c>
      <c r="U24" s="386">
        <v>5</v>
      </c>
      <c r="V24" s="386">
        <v>6</v>
      </c>
      <c r="W24" s="386">
        <v>7</v>
      </c>
      <c r="X24" s="386">
        <v>8</v>
      </c>
      <c r="Y24" s="386">
        <v>9</v>
      </c>
      <c r="Z24" s="386">
        <v>10</v>
      </c>
      <c r="AA24" s="386">
        <v>11</v>
      </c>
      <c r="AB24" s="411">
        <v>12</v>
      </c>
      <c r="AC24" s="386">
        <v>13</v>
      </c>
      <c r="AD24" s="386">
        <v>14</v>
      </c>
      <c r="AE24" s="386">
        <v>15</v>
      </c>
      <c r="AF24" s="508">
        <v>16</v>
      </c>
      <c r="AG24" s="450">
        <v>1</v>
      </c>
      <c r="AH24" s="386">
        <v>2</v>
      </c>
      <c r="AI24" s="386">
        <v>3</v>
      </c>
      <c r="AJ24" s="386">
        <v>4</v>
      </c>
      <c r="AK24" s="386">
        <v>5</v>
      </c>
      <c r="AL24" s="386">
        <v>6</v>
      </c>
      <c r="AM24" s="386">
        <v>7</v>
      </c>
      <c r="AN24" s="386">
        <v>8</v>
      </c>
      <c r="AO24" s="386">
        <v>9</v>
      </c>
      <c r="AP24" s="386">
        <v>10</v>
      </c>
      <c r="AQ24" s="386">
        <v>11</v>
      </c>
      <c r="AR24" s="411">
        <v>12</v>
      </c>
      <c r="AS24" s="386">
        <v>13</v>
      </c>
      <c r="AT24" s="386">
        <v>14</v>
      </c>
      <c r="AU24" s="386">
        <v>15</v>
      </c>
      <c r="AV24" s="508">
        <v>16</v>
      </c>
    </row>
    <row r="25" spans="1:48" ht="15" customHeight="1">
      <c r="A25" s="452" t="s">
        <v>471</v>
      </c>
      <c r="B25" s="388" t="s">
        <v>470</v>
      </c>
      <c r="C25" s="388" t="s">
        <v>473</v>
      </c>
      <c r="D25" s="412" t="s">
        <v>511</v>
      </c>
      <c r="E25" s="388" t="s">
        <v>462</v>
      </c>
      <c r="F25" s="388" t="s">
        <v>462</v>
      </c>
      <c r="G25" s="388" t="s">
        <v>479</v>
      </c>
      <c r="H25" s="388" t="s">
        <v>512</v>
      </c>
      <c r="I25" s="388" t="s">
        <v>463</v>
      </c>
      <c r="J25" s="388" t="s">
        <v>513</v>
      </c>
      <c r="K25" s="388" t="s">
        <v>514</v>
      </c>
      <c r="L25" s="413" t="s">
        <v>515</v>
      </c>
      <c r="M25" s="388" t="s">
        <v>514</v>
      </c>
      <c r="N25" s="388" t="s">
        <v>516</v>
      </c>
      <c r="O25" s="388" t="s">
        <v>512</v>
      </c>
      <c r="P25" s="509" t="s">
        <v>517</v>
      </c>
      <c r="Q25" s="452" t="s">
        <v>471</v>
      </c>
      <c r="R25" s="388" t="s">
        <v>470</v>
      </c>
      <c r="S25" s="388" t="s">
        <v>473</v>
      </c>
      <c r="T25" s="412" t="s">
        <v>511</v>
      </c>
      <c r="U25" s="388" t="s">
        <v>462</v>
      </c>
      <c r="V25" s="388" t="s">
        <v>462</v>
      </c>
      <c r="W25" s="388" t="s">
        <v>479</v>
      </c>
      <c r="X25" s="388" t="s">
        <v>512</v>
      </c>
      <c r="Y25" s="388" t="s">
        <v>463</v>
      </c>
      <c r="Z25" s="388" t="s">
        <v>513</v>
      </c>
      <c r="AA25" s="388" t="s">
        <v>514</v>
      </c>
      <c r="AB25" s="413" t="s">
        <v>515</v>
      </c>
      <c r="AC25" s="388" t="s">
        <v>514</v>
      </c>
      <c r="AD25" s="388" t="s">
        <v>516</v>
      </c>
      <c r="AE25" s="388" t="s">
        <v>512</v>
      </c>
      <c r="AF25" s="509" t="s">
        <v>517</v>
      </c>
      <c r="AG25" s="452" t="s">
        <v>471</v>
      </c>
      <c r="AH25" s="388" t="s">
        <v>470</v>
      </c>
      <c r="AI25" s="388" t="s">
        <v>473</v>
      </c>
      <c r="AJ25" s="412" t="s">
        <v>511</v>
      </c>
      <c r="AK25" s="388" t="s">
        <v>462</v>
      </c>
      <c r="AL25" s="388" t="s">
        <v>462</v>
      </c>
      <c r="AM25" s="388" t="s">
        <v>479</v>
      </c>
      <c r="AN25" s="388" t="s">
        <v>512</v>
      </c>
      <c r="AO25" s="388" t="s">
        <v>463</v>
      </c>
      <c r="AP25" s="388" t="s">
        <v>513</v>
      </c>
      <c r="AQ25" s="388" t="s">
        <v>514</v>
      </c>
      <c r="AR25" s="413" t="s">
        <v>515</v>
      </c>
      <c r="AS25" s="388" t="s">
        <v>514</v>
      </c>
      <c r="AT25" s="388" t="s">
        <v>516</v>
      </c>
      <c r="AU25" s="388" t="s">
        <v>512</v>
      </c>
      <c r="AV25" s="509" t="s">
        <v>517</v>
      </c>
    </row>
    <row r="26" spans="1:48" ht="15" customHeight="1">
      <c r="A26" s="452"/>
      <c r="B26" s="388"/>
      <c r="C26" s="388" t="s">
        <v>518</v>
      </c>
      <c r="D26" s="414" t="s">
        <v>462</v>
      </c>
      <c r="E26" s="388" t="s">
        <v>476</v>
      </c>
      <c r="F26" s="388" t="s">
        <v>479</v>
      </c>
      <c r="G26" s="388" t="s">
        <v>480</v>
      </c>
      <c r="H26" s="388" t="s">
        <v>480</v>
      </c>
      <c r="I26" s="388" t="s">
        <v>477</v>
      </c>
      <c r="J26" s="388" t="s">
        <v>519</v>
      </c>
      <c r="K26" s="388" t="s">
        <v>482</v>
      </c>
      <c r="L26" s="413" t="s">
        <v>493</v>
      </c>
      <c r="M26" s="388" t="s">
        <v>520</v>
      </c>
      <c r="N26" s="388" t="s">
        <v>520</v>
      </c>
      <c r="O26" s="388" t="s">
        <v>480</v>
      </c>
      <c r="P26" s="510" t="s">
        <v>521</v>
      </c>
      <c r="Q26" s="452"/>
      <c r="R26" s="388"/>
      <c r="S26" s="388" t="s">
        <v>518</v>
      </c>
      <c r="T26" s="414" t="s">
        <v>462</v>
      </c>
      <c r="U26" s="388" t="s">
        <v>476</v>
      </c>
      <c r="V26" s="388" t="s">
        <v>479</v>
      </c>
      <c r="W26" s="388" t="s">
        <v>480</v>
      </c>
      <c r="X26" s="388" t="s">
        <v>480</v>
      </c>
      <c r="Y26" s="388" t="s">
        <v>477</v>
      </c>
      <c r="Z26" s="388" t="s">
        <v>519</v>
      </c>
      <c r="AA26" s="388" t="s">
        <v>482</v>
      </c>
      <c r="AB26" s="413" t="s">
        <v>493</v>
      </c>
      <c r="AC26" s="388" t="s">
        <v>520</v>
      </c>
      <c r="AD26" s="388" t="s">
        <v>520</v>
      </c>
      <c r="AE26" s="388" t="s">
        <v>480</v>
      </c>
      <c r="AF26" s="510" t="s">
        <v>521</v>
      </c>
      <c r="AG26" s="452"/>
      <c r="AH26" s="388"/>
      <c r="AI26" s="388" t="s">
        <v>518</v>
      </c>
      <c r="AJ26" s="414" t="s">
        <v>462</v>
      </c>
      <c r="AK26" s="388" t="s">
        <v>476</v>
      </c>
      <c r="AL26" s="388" t="s">
        <v>479</v>
      </c>
      <c r="AM26" s="388" t="s">
        <v>480</v>
      </c>
      <c r="AN26" s="388" t="s">
        <v>480</v>
      </c>
      <c r="AO26" s="388" t="s">
        <v>477</v>
      </c>
      <c r="AP26" s="388" t="s">
        <v>519</v>
      </c>
      <c r="AQ26" s="388" t="s">
        <v>482</v>
      </c>
      <c r="AR26" s="413" t="s">
        <v>493</v>
      </c>
      <c r="AS26" s="388" t="s">
        <v>520</v>
      </c>
      <c r="AT26" s="388" t="s">
        <v>520</v>
      </c>
      <c r="AU26" s="388" t="s">
        <v>480</v>
      </c>
      <c r="AV26" s="510" t="s">
        <v>521</v>
      </c>
    </row>
    <row r="27" spans="1:48" ht="15" customHeight="1">
      <c r="A27" s="452"/>
      <c r="B27" s="388"/>
      <c r="C27" s="388"/>
      <c r="D27" s="414" t="s">
        <v>475</v>
      </c>
      <c r="E27" s="388"/>
      <c r="F27" s="388"/>
      <c r="G27" s="388"/>
      <c r="H27" s="388" t="s">
        <v>522</v>
      </c>
      <c r="I27" s="388"/>
      <c r="J27" s="388"/>
      <c r="K27" s="388"/>
      <c r="L27" s="413"/>
      <c r="M27" s="388" t="s">
        <v>523</v>
      </c>
      <c r="N27" s="388"/>
      <c r="O27" s="388"/>
      <c r="P27" s="510" t="s">
        <v>524</v>
      </c>
      <c r="Q27" s="452"/>
      <c r="R27" s="388"/>
      <c r="S27" s="388"/>
      <c r="T27" s="414" t="s">
        <v>475</v>
      </c>
      <c r="U27" s="388"/>
      <c r="V27" s="388"/>
      <c r="W27" s="388"/>
      <c r="X27" s="388" t="s">
        <v>522</v>
      </c>
      <c r="Y27" s="388"/>
      <c r="Z27" s="388"/>
      <c r="AA27" s="388"/>
      <c r="AB27" s="413"/>
      <c r="AC27" s="388" t="s">
        <v>523</v>
      </c>
      <c r="AD27" s="388"/>
      <c r="AE27" s="388"/>
      <c r="AF27" s="510" t="s">
        <v>524</v>
      </c>
      <c r="AG27" s="452"/>
      <c r="AH27" s="388"/>
      <c r="AI27" s="388"/>
      <c r="AJ27" s="414" t="s">
        <v>475</v>
      </c>
      <c r="AK27" s="388"/>
      <c r="AL27" s="388"/>
      <c r="AM27" s="388"/>
      <c r="AN27" s="388" t="s">
        <v>522</v>
      </c>
      <c r="AO27" s="388"/>
      <c r="AP27" s="388"/>
      <c r="AQ27" s="388"/>
      <c r="AR27" s="413"/>
      <c r="AS27" s="388" t="s">
        <v>523</v>
      </c>
      <c r="AT27" s="388"/>
      <c r="AU27" s="388"/>
      <c r="AV27" s="510" t="s">
        <v>524</v>
      </c>
    </row>
    <row r="28" spans="1:48" ht="15" customHeight="1">
      <c r="A28" s="452" t="s">
        <v>415</v>
      </c>
      <c r="B28" s="388" t="s">
        <v>494</v>
      </c>
      <c r="C28" s="388" t="s">
        <v>497</v>
      </c>
      <c r="D28" s="414" t="s">
        <v>486</v>
      </c>
      <c r="E28" s="388" t="s">
        <v>525</v>
      </c>
      <c r="F28" s="388" t="s">
        <v>490</v>
      </c>
      <c r="G28" s="388" t="s">
        <v>491</v>
      </c>
      <c r="H28" s="388" t="s">
        <v>526</v>
      </c>
      <c r="I28" s="388" t="s">
        <v>488</v>
      </c>
      <c r="J28" s="388" t="s">
        <v>489</v>
      </c>
      <c r="K28" s="388" t="s">
        <v>493</v>
      </c>
      <c r="L28" s="413"/>
      <c r="M28" s="388" t="s">
        <v>527</v>
      </c>
      <c r="N28" s="388" t="s">
        <v>528</v>
      </c>
      <c r="O28" s="388" t="s">
        <v>529</v>
      </c>
      <c r="P28" s="510" t="s">
        <v>0</v>
      </c>
      <c r="Q28" s="452" t="s">
        <v>415</v>
      </c>
      <c r="R28" s="388" t="s">
        <v>494</v>
      </c>
      <c r="S28" s="388" t="s">
        <v>497</v>
      </c>
      <c r="T28" s="414" t="s">
        <v>486</v>
      </c>
      <c r="U28" s="388" t="s">
        <v>525</v>
      </c>
      <c r="V28" s="388" t="s">
        <v>490</v>
      </c>
      <c r="W28" s="388" t="s">
        <v>491</v>
      </c>
      <c r="X28" s="388" t="s">
        <v>526</v>
      </c>
      <c r="Y28" s="388" t="s">
        <v>488</v>
      </c>
      <c r="Z28" s="388" t="s">
        <v>489</v>
      </c>
      <c r="AA28" s="388" t="s">
        <v>493</v>
      </c>
      <c r="AB28" s="413"/>
      <c r="AC28" s="388" t="s">
        <v>527</v>
      </c>
      <c r="AD28" s="388" t="s">
        <v>528</v>
      </c>
      <c r="AE28" s="388" t="s">
        <v>529</v>
      </c>
      <c r="AF28" s="510" t="s">
        <v>0</v>
      </c>
      <c r="AG28" s="452" t="s">
        <v>415</v>
      </c>
      <c r="AH28" s="388" t="s">
        <v>494</v>
      </c>
      <c r="AI28" s="388" t="s">
        <v>497</v>
      </c>
      <c r="AJ28" s="414" t="s">
        <v>486</v>
      </c>
      <c r="AK28" s="388" t="s">
        <v>525</v>
      </c>
      <c r="AL28" s="388" t="s">
        <v>490</v>
      </c>
      <c r="AM28" s="388" t="s">
        <v>491</v>
      </c>
      <c r="AN28" s="388" t="s">
        <v>526</v>
      </c>
      <c r="AO28" s="388" t="s">
        <v>488</v>
      </c>
      <c r="AP28" s="388" t="s">
        <v>489</v>
      </c>
      <c r="AQ28" s="388" t="s">
        <v>493</v>
      </c>
      <c r="AR28" s="413"/>
      <c r="AS28" s="388" t="s">
        <v>527</v>
      </c>
      <c r="AT28" s="388" t="s">
        <v>528</v>
      </c>
      <c r="AU28" s="388" t="s">
        <v>529</v>
      </c>
      <c r="AV28" s="510" t="s">
        <v>0</v>
      </c>
    </row>
    <row r="29" spans="1:48" ht="15" customHeight="1">
      <c r="A29" s="454" t="s">
        <v>501</v>
      </c>
      <c r="B29" s="391" t="s">
        <v>501</v>
      </c>
      <c r="C29" s="391" t="s">
        <v>501</v>
      </c>
      <c r="D29" s="391" t="s">
        <v>503</v>
      </c>
      <c r="E29" s="391" t="s">
        <v>501</v>
      </c>
      <c r="F29" s="391" t="s">
        <v>530</v>
      </c>
      <c r="G29" s="391" t="s">
        <v>501</v>
      </c>
      <c r="H29" s="391" t="s">
        <v>501</v>
      </c>
      <c r="I29" s="391" t="s">
        <v>501</v>
      </c>
      <c r="J29" s="391" t="s">
        <v>501</v>
      </c>
      <c r="K29" s="391" t="s">
        <v>1</v>
      </c>
      <c r="L29" s="415" t="s">
        <v>531</v>
      </c>
      <c r="M29" s="391" t="s">
        <v>501</v>
      </c>
      <c r="N29" s="391" t="s">
        <v>532</v>
      </c>
      <c r="O29" s="391" t="s">
        <v>501</v>
      </c>
      <c r="P29" s="511" t="s">
        <v>2</v>
      </c>
      <c r="Q29" s="454" t="s">
        <v>501</v>
      </c>
      <c r="R29" s="391" t="s">
        <v>501</v>
      </c>
      <c r="S29" s="391" t="s">
        <v>501</v>
      </c>
      <c r="T29" s="391" t="s">
        <v>503</v>
      </c>
      <c r="U29" s="391" t="s">
        <v>501</v>
      </c>
      <c r="V29" s="391" t="s">
        <v>530</v>
      </c>
      <c r="W29" s="391" t="s">
        <v>501</v>
      </c>
      <c r="X29" s="391" t="s">
        <v>501</v>
      </c>
      <c r="Y29" s="391" t="s">
        <v>501</v>
      </c>
      <c r="Z29" s="391" t="s">
        <v>501</v>
      </c>
      <c r="AA29" s="391" t="s">
        <v>1</v>
      </c>
      <c r="AB29" s="415" t="s">
        <v>531</v>
      </c>
      <c r="AC29" s="391" t="s">
        <v>501</v>
      </c>
      <c r="AD29" s="391" t="s">
        <v>532</v>
      </c>
      <c r="AE29" s="391" t="s">
        <v>501</v>
      </c>
      <c r="AF29" s="511" t="s">
        <v>2</v>
      </c>
      <c r="AG29" s="454" t="s">
        <v>501</v>
      </c>
      <c r="AH29" s="391" t="s">
        <v>501</v>
      </c>
      <c r="AI29" s="391" t="s">
        <v>501</v>
      </c>
      <c r="AJ29" s="391" t="s">
        <v>503</v>
      </c>
      <c r="AK29" s="391" t="s">
        <v>501</v>
      </c>
      <c r="AL29" s="391" t="s">
        <v>530</v>
      </c>
      <c r="AM29" s="391" t="s">
        <v>501</v>
      </c>
      <c r="AN29" s="391" t="s">
        <v>501</v>
      </c>
      <c r="AO29" s="391" t="s">
        <v>501</v>
      </c>
      <c r="AP29" s="391" t="s">
        <v>501</v>
      </c>
      <c r="AQ29" s="391" t="s">
        <v>1</v>
      </c>
      <c r="AR29" s="415" t="s">
        <v>531</v>
      </c>
      <c r="AS29" s="391" t="s">
        <v>501</v>
      </c>
      <c r="AT29" s="391" t="s">
        <v>532</v>
      </c>
      <c r="AU29" s="391" t="s">
        <v>501</v>
      </c>
      <c r="AV29" s="511" t="s">
        <v>2</v>
      </c>
    </row>
    <row r="30" spans="1:48" ht="15" customHeight="1">
      <c r="A30" s="512"/>
      <c r="B30" s="393">
        <v>0</v>
      </c>
      <c r="C30" s="394">
        <f>+F20</f>
        <v>0</v>
      </c>
      <c r="D30" s="394">
        <f>+F19</f>
        <v>0</v>
      </c>
      <c r="E30" s="394">
        <f>D30*($F$4+($F$5+$F$6)*D30+$F$4)/2</f>
        <v>0</v>
      </c>
      <c r="F30" s="394">
        <f>IF(E30=0,0,$F$9/E30)</f>
        <v>0</v>
      </c>
      <c r="G30" s="394">
        <f>F30^2/64.4</f>
        <v>0</v>
      </c>
      <c r="H30" s="394">
        <f>G30+D30+C30</f>
        <v>0</v>
      </c>
      <c r="I30" s="394">
        <f>$F$4+((1+$F$5^2)^0.5+(1+$F$6^2)^0.5)*D30</f>
        <v>0</v>
      </c>
      <c r="J30" s="394">
        <f>IF(I30=0,0,E30/I30)</f>
        <v>0</v>
      </c>
      <c r="K30" s="395">
        <f>IF(J30=0,0,$F$7^2*F30^2/(2.22*J30^1.333))</f>
        <v>0</v>
      </c>
      <c r="L30" s="417"/>
      <c r="M30" s="418"/>
      <c r="N30" s="416"/>
      <c r="O30" s="393">
        <f>+H30</f>
        <v>0</v>
      </c>
      <c r="P30" s="513"/>
      <c r="Q30" s="512"/>
      <c r="R30" s="393">
        <v>0</v>
      </c>
      <c r="S30" s="394">
        <f>+V20</f>
        <v>0</v>
      </c>
      <c r="T30" s="394">
        <f>+V19</f>
      </c>
      <c r="U30" s="394">
        <f>T30*($F$4+($F$5+$F$6)*T30+$F$4)/2</f>
        <v>0</v>
      </c>
      <c r="V30" s="394">
        <f>IF(U30=0,0,$F$9/U30)</f>
        <v>0</v>
      </c>
      <c r="W30" s="394">
        <f>V30^2/64.4</f>
        <v>0</v>
      </c>
      <c r="X30" s="394">
        <f>W30+T30+S30</f>
        <v>0</v>
      </c>
      <c r="Y30" s="394">
        <f>$F$4+((1+$F$5^2)^0.5+(1+$F$6^2)^0.5)*T30</f>
        <v>0</v>
      </c>
      <c r="Z30" s="394">
        <f>IF(Y30=0,0,U30/Y30)</f>
        <v>0</v>
      </c>
      <c r="AA30" s="395">
        <f>IF(Z30=0,0,$F$7^2*V30^2/(2.22*Z30^1.333))</f>
        <v>0</v>
      </c>
      <c r="AB30" s="417"/>
      <c r="AC30" s="418"/>
      <c r="AD30" s="419"/>
      <c r="AE30" s="393">
        <f>+X30</f>
        <v>0</v>
      </c>
      <c r="AF30" s="513"/>
      <c r="AG30" s="512"/>
      <c r="AH30" s="393">
        <v>0</v>
      </c>
      <c r="AI30" s="394">
        <f>+AL20</f>
        <v>0</v>
      </c>
      <c r="AJ30" s="394">
        <f>+AL19</f>
      </c>
      <c r="AK30" s="394">
        <f>AJ30*($F$4+($F$5+$F$6)*AJ30+$F$4)/2</f>
        <v>0</v>
      </c>
      <c r="AL30" s="394">
        <f>IF(AK30=0,0,$F$9/AK30)</f>
        <v>0</v>
      </c>
      <c r="AM30" s="394">
        <f>AL30^2/64.4</f>
        <v>0</v>
      </c>
      <c r="AN30" s="394">
        <f>AM30+AJ30+AI30</f>
        <v>0</v>
      </c>
      <c r="AO30" s="394">
        <f>$F$4+((1+$F$5^2)^0.5+(1+$F$6^2)^0.5)*AJ30</f>
        <v>0</v>
      </c>
      <c r="AP30" s="394">
        <f>IF(AO30=0,0,AK30/AO30)</f>
        <v>0</v>
      </c>
      <c r="AQ30" s="395">
        <f>IF(AP30=0,0,$F$7^2*AL30^2/(2.22*AP30^1.333))</f>
        <v>0</v>
      </c>
      <c r="AR30" s="417"/>
      <c r="AS30" s="418"/>
      <c r="AT30" s="419"/>
      <c r="AU30" s="393">
        <f>+AN30</f>
        <v>0</v>
      </c>
      <c r="AV30" s="513"/>
    </row>
    <row r="31" spans="1:48" ht="15" customHeight="1">
      <c r="A31" s="512"/>
      <c r="B31" s="393">
        <f aca="true" t="shared" si="2" ref="B31:B70">IF(A31="","",A31-A30)</f>
      </c>
      <c r="C31" s="394">
        <f aca="true" t="shared" si="3" ref="C31:C70">IF(A31="","",C30+$F$8*B31)</f>
      </c>
      <c r="D31" s="416"/>
      <c r="E31" s="394">
        <f aca="true" t="shared" si="4" ref="E31:E70">IF(A31="","",D31*($F$4+($F$5+$F$6)*D31+$F$4)/2)</f>
      </c>
      <c r="F31" s="394">
        <f aca="true" t="shared" si="5" ref="F31:F70">IF(A31="","",$F$9/E31)</f>
      </c>
      <c r="G31" s="394">
        <f aca="true" t="shared" si="6" ref="G31:G70">IF(A31="","",F31^2/64.4)</f>
      </c>
      <c r="H31" s="394">
        <f aca="true" t="shared" si="7" ref="H31:H70">IF(A31="","",G31+D31+C31)</f>
      </c>
      <c r="I31" s="394">
        <f aca="true" t="shared" si="8" ref="I31:I70">IF(A31="","",$F$4+((1+$F$5^2)^0.5+(1+$F$6^2)^0.5)*D31)</f>
      </c>
      <c r="J31" s="394">
        <f aca="true" t="shared" si="9" ref="J31:J70">IF(A31="","",E31/I31)</f>
      </c>
      <c r="K31" s="395">
        <f aca="true" t="shared" si="10" ref="K31:K70">IF(A31="","",$F$7^2*F31^2/(2.22*J31^1.333))</f>
      </c>
      <c r="L31" s="420">
        <f aca="true" t="shared" si="11" ref="L31:L70">IF(A31="","",0.5*(K30+K31))</f>
      </c>
      <c r="M31" s="421">
        <f aca="true" t="shared" si="12" ref="M31:M70">IF(A31="","",L31*B31)</f>
      </c>
      <c r="N31" s="416"/>
      <c r="O31" s="393">
        <f aca="true" t="shared" si="13" ref="O31:O70">IF(A31="","",M31+N31+O30)</f>
      </c>
      <c r="P31" s="514">
        <f aca="true" t="shared" si="14" ref="P31:P70">IF(A31="","",O31-H31)</f>
      </c>
      <c r="Q31" s="512"/>
      <c r="R31" s="393">
        <f aca="true" t="shared" si="15" ref="R31:R70">IF(Q31="","",Q31-Q30)</f>
      </c>
      <c r="S31" s="394">
        <f aca="true" t="shared" si="16" ref="S31:S70">IF(Q31="","",S30+$F$8*R31)</f>
      </c>
      <c r="T31" s="416"/>
      <c r="U31" s="394">
        <f aca="true" t="shared" si="17" ref="U31:U70">IF(Q31="","",T31*($F$4+($F$5+$F$6)*T31+$F$4)/2)</f>
      </c>
      <c r="V31" s="394">
        <f aca="true" t="shared" si="18" ref="V31:V70">IF(Q31="","",$F$9/U31)</f>
      </c>
      <c r="W31" s="394">
        <f aca="true" t="shared" si="19" ref="W31:W70">IF(Q31="","",V31^2/64.4)</f>
      </c>
      <c r="X31" s="394">
        <f aca="true" t="shared" si="20" ref="X31:X70">IF(Q31="","",W31+T31+S31)</f>
      </c>
      <c r="Y31" s="394">
        <f aca="true" t="shared" si="21" ref="Y31:Y70">IF(Q31="","",$F$4+((1+$F$5^2)^0.5+(1+$F$6^2)^0.5)*T31)</f>
      </c>
      <c r="Z31" s="394">
        <f aca="true" t="shared" si="22" ref="Z31:Z70">IF(Q31="","",U31/Y31)</f>
      </c>
      <c r="AA31" s="395">
        <f aca="true" t="shared" si="23" ref="AA31:AA70">IF(Q31="","",$F$7^2*V31^2/(2.22*Z31^1.333))</f>
      </c>
      <c r="AB31" s="420">
        <f aca="true" t="shared" si="24" ref="AB31:AB70">IF(Q31="","",0.5*(AA30+AA31))</f>
      </c>
      <c r="AC31" s="421">
        <f aca="true" t="shared" si="25" ref="AC31:AC70">IF(Q31="","",AB31*R31)</f>
      </c>
      <c r="AD31" s="416"/>
      <c r="AE31" s="393">
        <f aca="true" t="shared" si="26" ref="AE31:AE70">IF(Q31="","",AC31+AD31+AE30)</f>
      </c>
      <c r="AF31" s="514">
        <f aca="true" t="shared" si="27" ref="AF31:AF70">IF(Q31="","",AE31-X31)</f>
      </c>
      <c r="AG31" s="512"/>
      <c r="AH31" s="393">
        <f>IF(AG31="","",AG30-AG31)</f>
      </c>
      <c r="AI31" s="394">
        <f>IF(AG31="","",AI30-$F$8*AH31)</f>
      </c>
      <c r="AJ31" s="416"/>
      <c r="AK31" s="394">
        <f aca="true" t="shared" si="28" ref="AK31:AK70">IF(AG31="","",AJ31*($F$4+($F$5+$F$6)*AJ31+$F$4)/2)</f>
      </c>
      <c r="AL31" s="394">
        <f aca="true" t="shared" si="29" ref="AL31:AL70">IF(AG31="","",$F$9/AK31)</f>
      </c>
      <c r="AM31" s="394">
        <f aca="true" t="shared" si="30" ref="AM31:AM70">IF(AG31="","",AL31^2/64.4)</f>
      </c>
      <c r="AN31" s="394">
        <f aca="true" t="shared" si="31" ref="AN31:AN70">IF(AG31="","",AM31+AJ31+AI31)</f>
      </c>
      <c r="AO31" s="394">
        <f aca="true" t="shared" si="32" ref="AO31:AO70">IF(AG31="","",$F$4+((1+$F$5^2)^0.5+(1+$F$6^2)^0.5)*AJ31)</f>
      </c>
      <c r="AP31" s="394">
        <f aca="true" t="shared" si="33" ref="AP31:AP70">IF(AG31="","",AK31/AO31)</f>
      </c>
      <c r="AQ31" s="395">
        <f aca="true" t="shared" si="34" ref="AQ31:AQ70">IF(AG31="","",$F$7^2*AL31^2/(2.22*AP31^1.333))</f>
      </c>
      <c r="AR31" s="420">
        <f aca="true" t="shared" si="35" ref="AR31:AR70">IF(AG31="","",0.5*(AQ30+AQ31))</f>
      </c>
      <c r="AS31" s="421">
        <f aca="true" t="shared" si="36" ref="AS31:AS70">IF(AG31="","",AR31*AH31)</f>
      </c>
      <c r="AT31" s="416"/>
      <c r="AU31" s="393">
        <f aca="true" t="shared" si="37" ref="AU31:AU70">IF(AG31="","",AU30-AS31-AT31)</f>
      </c>
      <c r="AV31" s="514">
        <f aca="true" t="shared" si="38" ref="AV31:AV70">IF(AG31="","",AU31-AN31)</f>
      </c>
    </row>
    <row r="32" spans="1:48" ht="15" customHeight="1">
      <c r="A32" s="512"/>
      <c r="B32" s="393">
        <f t="shared" si="2"/>
      </c>
      <c r="C32" s="394">
        <f t="shared" si="3"/>
      </c>
      <c r="D32" s="416"/>
      <c r="E32" s="394">
        <f t="shared" si="4"/>
      </c>
      <c r="F32" s="394">
        <f t="shared" si="5"/>
      </c>
      <c r="G32" s="394">
        <f t="shared" si="6"/>
      </c>
      <c r="H32" s="394">
        <f t="shared" si="7"/>
      </c>
      <c r="I32" s="394">
        <f t="shared" si="8"/>
      </c>
      <c r="J32" s="394">
        <f t="shared" si="9"/>
      </c>
      <c r="K32" s="395">
        <f t="shared" si="10"/>
      </c>
      <c r="L32" s="420">
        <f t="shared" si="11"/>
      </c>
      <c r="M32" s="421">
        <f t="shared" si="12"/>
      </c>
      <c r="N32" s="416"/>
      <c r="O32" s="393">
        <f t="shared" si="13"/>
      </c>
      <c r="P32" s="514">
        <f t="shared" si="14"/>
      </c>
      <c r="Q32" s="512"/>
      <c r="R32" s="393">
        <f t="shared" si="15"/>
      </c>
      <c r="S32" s="394">
        <f t="shared" si="16"/>
      </c>
      <c r="T32" s="416"/>
      <c r="U32" s="394">
        <f t="shared" si="17"/>
      </c>
      <c r="V32" s="394">
        <f t="shared" si="18"/>
      </c>
      <c r="W32" s="394">
        <f t="shared" si="19"/>
      </c>
      <c r="X32" s="394">
        <f t="shared" si="20"/>
      </c>
      <c r="Y32" s="394">
        <f t="shared" si="21"/>
      </c>
      <c r="Z32" s="394">
        <f t="shared" si="22"/>
      </c>
      <c r="AA32" s="395">
        <f t="shared" si="23"/>
      </c>
      <c r="AB32" s="420">
        <f t="shared" si="24"/>
      </c>
      <c r="AC32" s="421">
        <f t="shared" si="25"/>
      </c>
      <c r="AD32" s="416"/>
      <c r="AE32" s="393">
        <f t="shared" si="26"/>
      </c>
      <c r="AF32" s="514">
        <f t="shared" si="27"/>
      </c>
      <c r="AG32" s="512"/>
      <c r="AH32" s="393">
        <f aca="true" t="shared" si="39" ref="AH32:AH70">IF(AG32="","",AG31-AG32)</f>
      </c>
      <c r="AI32" s="394">
        <f aca="true" t="shared" si="40" ref="AI32:AI70">IF(AG32="","",AI31-$F$8*AH32)</f>
      </c>
      <c r="AJ32" s="416"/>
      <c r="AK32" s="394">
        <f t="shared" si="28"/>
      </c>
      <c r="AL32" s="394">
        <f t="shared" si="29"/>
      </c>
      <c r="AM32" s="394">
        <f t="shared" si="30"/>
      </c>
      <c r="AN32" s="394">
        <f t="shared" si="31"/>
      </c>
      <c r="AO32" s="394">
        <f t="shared" si="32"/>
      </c>
      <c r="AP32" s="394">
        <f t="shared" si="33"/>
      </c>
      <c r="AQ32" s="395">
        <f t="shared" si="34"/>
      </c>
      <c r="AR32" s="420">
        <f t="shared" si="35"/>
      </c>
      <c r="AS32" s="421">
        <f t="shared" si="36"/>
      </c>
      <c r="AT32" s="416"/>
      <c r="AU32" s="393">
        <f t="shared" si="37"/>
      </c>
      <c r="AV32" s="514">
        <f t="shared" si="38"/>
      </c>
    </row>
    <row r="33" spans="1:48" ht="15" customHeight="1">
      <c r="A33" s="512"/>
      <c r="B33" s="393">
        <f t="shared" si="2"/>
      </c>
      <c r="C33" s="394">
        <f t="shared" si="3"/>
      </c>
      <c r="D33" s="416"/>
      <c r="E33" s="394">
        <f t="shared" si="4"/>
      </c>
      <c r="F33" s="394">
        <f t="shared" si="5"/>
      </c>
      <c r="G33" s="394">
        <f t="shared" si="6"/>
      </c>
      <c r="H33" s="394">
        <f t="shared" si="7"/>
      </c>
      <c r="I33" s="394">
        <f t="shared" si="8"/>
      </c>
      <c r="J33" s="394">
        <f t="shared" si="9"/>
      </c>
      <c r="K33" s="395">
        <f t="shared" si="10"/>
      </c>
      <c r="L33" s="420">
        <f t="shared" si="11"/>
      </c>
      <c r="M33" s="421">
        <f t="shared" si="12"/>
      </c>
      <c r="N33" s="416"/>
      <c r="O33" s="393">
        <f t="shared" si="13"/>
      </c>
      <c r="P33" s="514">
        <f t="shared" si="14"/>
      </c>
      <c r="Q33" s="512"/>
      <c r="R33" s="393">
        <f t="shared" si="15"/>
      </c>
      <c r="S33" s="394">
        <f t="shared" si="16"/>
      </c>
      <c r="T33" s="416"/>
      <c r="U33" s="394">
        <f t="shared" si="17"/>
      </c>
      <c r="V33" s="394">
        <f t="shared" si="18"/>
      </c>
      <c r="W33" s="394">
        <f t="shared" si="19"/>
      </c>
      <c r="X33" s="394">
        <f t="shared" si="20"/>
      </c>
      <c r="Y33" s="394">
        <f t="shared" si="21"/>
      </c>
      <c r="Z33" s="394">
        <f t="shared" si="22"/>
      </c>
      <c r="AA33" s="395">
        <f t="shared" si="23"/>
      </c>
      <c r="AB33" s="420">
        <f t="shared" si="24"/>
      </c>
      <c r="AC33" s="421">
        <f t="shared" si="25"/>
      </c>
      <c r="AD33" s="416"/>
      <c r="AE33" s="393">
        <f t="shared" si="26"/>
      </c>
      <c r="AF33" s="514">
        <f t="shared" si="27"/>
      </c>
      <c r="AG33" s="512"/>
      <c r="AH33" s="393">
        <f t="shared" si="39"/>
      </c>
      <c r="AI33" s="394">
        <f t="shared" si="40"/>
      </c>
      <c r="AJ33" s="416"/>
      <c r="AK33" s="394">
        <f t="shared" si="28"/>
      </c>
      <c r="AL33" s="394">
        <f t="shared" si="29"/>
      </c>
      <c r="AM33" s="394">
        <f t="shared" si="30"/>
      </c>
      <c r="AN33" s="394">
        <f t="shared" si="31"/>
      </c>
      <c r="AO33" s="394">
        <f t="shared" si="32"/>
      </c>
      <c r="AP33" s="394">
        <f t="shared" si="33"/>
      </c>
      <c r="AQ33" s="395">
        <f t="shared" si="34"/>
      </c>
      <c r="AR33" s="420">
        <f t="shared" si="35"/>
      </c>
      <c r="AS33" s="421">
        <f t="shared" si="36"/>
      </c>
      <c r="AT33" s="416"/>
      <c r="AU33" s="393">
        <f t="shared" si="37"/>
      </c>
      <c r="AV33" s="514">
        <f t="shared" si="38"/>
      </c>
    </row>
    <row r="34" spans="1:48" ht="15" customHeight="1">
      <c r="A34" s="512"/>
      <c r="B34" s="393">
        <f t="shared" si="2"/>
      </c>
      <c r="C34" s="394">
        <f t="shared" si="3"/>
      </c>
      <c r="D34" s="416"/>
      <c r="E34" s="394">
        <f t="shared" si="4"/>
      </c>
      <c r="F34" s="394">
        <f t="shared" si="5"/>
      </c>
      <c r="G34" s="394">
        <f t="shared" si="6"/>
      </c>
      <c r="H34" s="394">
        <f t="shared" si="7"/>
      </c>
      <c r="I34" s="394">
        <f t="shared" si="8"/>
      </c>
      <c r="J34" s="394">
        <f t="shared" si="9"/>
      </c>
      <c r="K34" s="395">
        <f t="shared" si="10"/>
      </c>
      <c r="L34" s="420">
        <f t="shared" si="11"/>
      </c>
      <c r="M34" s="421">
        <f t="shared" si="12"/>
      </c>
      <c r="N34" s="416"/>
      <c r="O34" s="393">
        <f t="shared" si="13"/>
      </c>
      <c r="P34" s="514">
        <f t="shared" si="14"/>
      </c>
      <c r="Q34" s="512"/>
      <c r="R34" s="393">
        <f t="shared" si="15"/>
      </c>
      <c r="S34" s="394">
        <f t="shared" si="16"/>
      </c>
      <c r="T34" s="416"/>
      <c r="U34" s="394">
        <f t="shared" si="17"/>
      </c>
      <c r="V34" s="394">
        <f t="shared" si="18"/>
      </c>
      <c r="W34" s="394">
        <f t="shared" si="19"/>
      </c>
      <c r="X34" s="394">
        <f t="shared" si="20"/>
      </c>
      <c r="Y34" s="394">
        <f t="shared" si="21"/>
      </c>
      <c r="Z34" s="394">
        <f t="shared" si="22"/>
      </c>
      <c r="AA34" s="395">
        <f t="shared" si="23"/>
      </c>
      <c r="AB34" s="420">
        <f t="shared" si="24"/>
      </c>
      <c r="AC34" s="421">
        <f t="shared" si="25"/>
      </c>
      <c r="AD34" s="416"/>
      <c r="AE34" s="393">
        <f t="shared" si="26"/>
      </c>
      <c r="AF34" s="514">
        <f t="shared" si="27"/>
      </c>
      <c r="AG34" s="512"/>
      <c r="AH34" s="393">
        <f t="shared" si="39"/>
      </c>
      <c r="AI34" s="394">
        <f t="shared" si="40"/>
      </c>
      <c r="AJ34" s="416"/>
      <c r="AK34" s="394">
        <f t="shared" si="28"/>
      </c>
      <c r="AL34" s="394">
        <f t="shared" si="29"/>
      </c>
      <c r="AM34" s="394">
        <f t="shared" si="30"/>
      </c>
      <c r="AN34" s="394">
        <f t="shared" si="31"/>
      </c>
      <c r="AO34" s="394">
        <f t="shared" si="32"/>
      </c>
      <c r="AP34" s="394">
        <f t="shared" si="33"/>
      </c>
      <c r="AQ34" s="395">
        <f t="shared" si="34"/>
      </c>
      <c r="AR34" s="420">
        <f t="shared" si="35"/>
      </c>
      <c r="AS34" s="421">
        <f t="shared" si="36"/>
      </c>
      <c r="AT34" s="416"/>
      <c r="AU34" s="393">
        <f t="shared" si="37"/>
      </c>
      <c r="AV34" s="514">
        <f t="shared" si="38"/>
      </c>
    </row>
    <row r="35" spans="1:48" ht="15" customHeight="1">
      <c r="A35" s="512"/>
      <c r="B35" s="393">
        <f t="shared" si="2"/>
      </c>
      <c r="C35" s="394">
        <f t="shared" si="3"/>
      </c>
      <c r="D35" s="416"/>
      <c r="E35" s="394">
        <f t="shared" si="4"/>
      </c>
      <c r="F35" s="394">
        <f t="shared" si="5"/>
      </c>
      <c r="G35" s="394">
        <f t="shared" si="6"/>
      </c>
      <c r="H35" s="394">
        <f t="shared" si="7"/>
      </c>
      <c r="I35" s="394">
        <f t="shared" si="8"/>
      </c>
      <c r="J35" s="394">
        <f t="shared" si="9"/>
      </c>
      <c r="K35" s="395">
        <f t="shared" si="10"/>
      </c>
      <c r="L35" s="420">
        <f t="shared" si="11"/>
      </c>
      <c r="M35" s="421">
        <f t="shared" si="12"/>
      </c>
      <c r="N35" s="416"/>
      <c r="O35" s="393">
        <f t="shared" si="13"/>
      </c>
      <c r="P35" s="514">
        <f t="shared" si="14"/>
      </c>
      <c r="Q35" s="512"/>
      <c r="R35" s="393">
        <f t="shared" si="15"/>
      </c>
      <c r="S35" s="394">
        <f t="shared" si="16"/>
      </c>
      <c r="T35" s="416"/>
      <c r="U35" s="394">
        <f t="shared" si="17"/>
      </c>
      <c r="V35" s="394">
        <f t="shared" si="18"/>
      </c>
      <c r="W35" s="394">
        <f t="shared" si="19"/>
      </c>
      <c r="X35" s="394">
        <f t="shared" si="20"/>
      </c>
      <c r="Y35" s="394">
        <f t="shared" si="21"/>
      </c>
      <c r="Z35" s="394">
        <f t="shared" si="22"/>
      </c>
      <c r="AA35" s="395">
        <f t="shared" si="23"/>
      </c>
      <c r="AB35" s="420">
        <f t="shared" si="24"/>
      </c>
      <c r="AC35" s="421">
        <f t="shared" si="25"/>
      </c>
      <c r="AD35" s="416"/>
      <c r="AE35" s="393">
        <f t="shared" si="26"/>
      </c>
      <c r="AF35" s="514">
        <f t="shared" si="27"/>
      </c>
      <c r="AG35" s="512"/>
      <c r="AH35" s="393">
        <f t="shared" si="39"/>
      </c>
      <c r="AI35" s="394">
        <f t="shared" si="40"/>
      </c>
      <c r="AJ35" s="416"/>
      <c r="AK35" s="394">
        <f t="shared" si="28"/>
      </c>
      <c r="AL35" s="394">
        <f t="shared" si="29"/>
      </c>
      <c r="AM35" s="394">
        <f t="shared" si="30"/>
      </c>
      <c r="AN35" s="394">
        <f t="shared" si="31"/>
      </c>
      <c r="AO35" s="394">
        <f t="shared" si="32"/>
      </c>
      <c r="AP35" s="394">
        <f t="shared" si="33"/>
      </c>
      <c r="AQ35" s="395">
        <f t="shared" si="34"/>
      </c>
      <c r="AR35" s="420">
        <f t="shared" si="35"/>
      </c>
      <c r="AS35" s="421">
        <f t="shared" si="36"/>
      </c>
      <c r="AT35" s="416"/>
      <c r="AU35" s="393">
        <f t="shared" si="37"/>
      </c>
      <c r="AV35" s="514">
        <f t="shared" si="38"/>
      </c>
    </row>
    <row r="36" spans="1:48" ht="15" customHeight="1">
      <c r="A36" s="512"/>
      <c r="B36" s="393">
        <f t="shared" si="2"/>
      </c>
      <c r="C36" s="394">
        <f t="shared" si="3"/>
      </c>
      <c r="D36" s="416"/>
      <c r="E36" s="394">
        <f t="shared" si="4"/>
      </c>
      <c r="F36" s="394">
        <f t="shared" si="5"/>
      </c>
      <c r="G36" s="394">
        <f t="shared" si="6"/>
      </c>
      <c r="H36" s="394">
        <f t="shared" si="7"/>
      </c>
      <c r="I36" s="394">
        <f t="shared" si="8"/>
      </c>
      <c r="J36" s="394">
        <f t="shared" si="9"/>
      </c>
      <c r="K36" s="395">
        <f t="shared" si="10"/>
      </c>
      <c r="L36" s="420">
        <f t="shared" si="11"/>
      </c>
      <c r="M36" s="421">
        <f t="shared" si="12"/>
      </c>
      <c r="N36" s="416"/>
      <c r="O36" s="393">
        <f>IF(A36="","",M36+N36+O35)</f>
      </c>
      <c r="P36" s="514">
        <f t="shared" si="14"/>
      </c>
      <c r="Q36" s="512"/>
      <c r="R36" s="393">
        <f t="shared" si="15"/>
      </c>
      <c r="S36" s="394">
        <f t="shared" si="16"/>
      </c>
      <c r="T36" s="416"/>
      <c r="U36" s="394">
        <f t="shared" si="17"/>
      </c>
      <c r="V36" s="394">
        <f t="shared" si="18"/>
      </c>
      <c r="W36" s="394">
        <f t="shared" si="19"/>
      </c>
      <c r="X36" s="394">
        <f t="shared" si="20"/>
      </c>
      <c r="Y36" s="394">
        <f t="shared" si="21"/>
      </c>
      <c r="Z36" s="394">
        <f t="shared" si="22"/>
      </c>
      <c r="AA36" s="395">
        <f t="shared" si="23"/>
      </c>
      <c r="AB36" s="420">
        <f t="shared" si="24"/>
      </c>
      <c r="AC36" s="421">
        <f t="shared" si="25"/>
      </c>
      <c r="AD36" s="416"/>
      <c r="AE36" s="393">
        <f t="shared" si="26"/>
      </c>
      <c r="AF36" s="514">
        <f t="shared" si="27"/>
      </c>
      <c r="AG36" s="512"/>
      <c r="AH36" s="393">
        <f t="shared" si="39"/>
      </c>
      <c r="AI36" s="394">
        <f t="shared" si="40"/>
      </c>
      <c r="AJ36" s="416"/>
      <c r="AK36" s="394">
        <f t="shared" si="28"/>
      </c>
      <c r="AL36" s="394">
        <f t="shared" si="29"/>
      </c>
      <c r="AM36" s="394">
        <f t="shared" si="30"/>
      </c>
      <c r="AN36" s="394">
        <f t="shared" si="31"/>
      </c>
      <c r="AO36" s="394">
        <f t="shared" si="32"/>
      </c>
      <c r="AP36" s="394">
        <f t="shared" si="33"/>
      </c>
      <c r="AQ36" s="395">
        <f t="shared" si="34"/>
      </c>
      <c r="AR36" s="420">
        <f t="shared" si="35"/>
      </c>
      <c r="AS36" s="421">
        <f t="shared" si="36"/>
      </c>
      <c r="AT36" s="416"/>
      <c r="AU36" s="393">
        <f t="shared" si="37"/>
      </c>
      <c r="AV36" s="514">
        <f t="shared" si="38"/>
      </c>
    </row>
    <row r="37" spans="1:48" ht="15" customHeight="1">
      <c r="A37" s="512"/>
      <c r="B37" s="393">
        <f t="shared" si="2"/>
      </c>
      <c r="C37" s="394">
        <f t="shared" si="3"/>
      </c>
      <c r="D37" s="416"/>
      <c r="E37" s="394">
        <f t="shared" si="4"/>
      </c>
      <c r="F37" s="394">
        <f t="shared" si="5"/>
      </c>
      <c r="G37" s="394">
        <f t="shared" si="6"/>
      </c>
      <c r="H37" s="394">
        <f t="shared" si="7"/>
      </c>
      <c r="I37" s="394">
        <f t="shared" si="8"/>
      </c>
      <c r="J37" s="394">
        <f t="shared" si="9"/>
      </c>
      <c r="K37" s="395">
        <f t="shared" si="10"/>
      </c>
      <c r="L37" s="420">
        <f t="shared" si="11"/>
      </c>
      <c r="M37" s="421">
        <f t="shared" si="12"/>
      </c>
      <c r="N37" s="416"/>
      <c r="O37" s="393">
        <f t="shared" si="13"/>
      </c>
      <c r="P37" s="514">
        <f t="shared" si="14"/>
      </c>
      <c r="Q37" s="512"/>
      <c r="R37" s="393">
        <f t="shared" si="15"/>
      </c>
      <c r="S37" s="394">
        <f t="shared" si="16"/>
      </c>
      <c r="T37" s="416"/>
      <c r="U37" s="394">
        <f t="shared" si="17"/>
      </c>
      <c r="V37" s="394">
        <f t="shared" si="18"/>
      </c>
      <c r="W37" s="394">
        <f t="shared" si="19"/>
      </c>
      <c r="X37" s="394">
        <f t="shared" si="20"/>
      </c>
      <c r="Y37" s="394">
        <f t="shared" si="21"/>
      </c>
      <c r="Z37" s="394">
        <f t="shared" si="22"/>
      </c>
      <c r="AA37" s="395">
        <f t="shared" si="23"/>
      </c>
      <c r="AB37" s="420">
        <f t="shared" si="24"/>
      </c>
      <c r="AC37" s="421">
        <f t="shared" si="25"/>
      </c>
      <c r="AD37" s="416"/>
      <c r="AE37" s="393">
        <f t="shared" si="26"/>
      </c>
      <c r="AF37" s="514">
        <f t="shared" si="27"/>
      </c>
      <c r="AG37" s="512"/>
      <c r="AH37" s="393">
        <f t="shared" si="39"/>
      </c>
      <c r="AI37" s="394">
        <f t="shared" si="40"/>
      </c>
      <c r="AJ37" s="416"/>
      <c r="AK37" s="394">
        <f t="shared" si="28"/>
      </c>
      <c r="AL37" s="394">
        <f t="shared" si="29"/>
      </c>
      <c r="AM37" s="394">
        <f t="shared" si="30"/>
      </c>
      <c r="AN37" s="394">
        <f t="shared" si="31"/>
      </c>
      <c r="AO37" s="394">
        <f t="shared" si="32"/>
      </c>
      <c r="AP37" s="394">
        <f t="shared" si="33"/>
      </c>
      <c r="AQ37" s="395">
        <f t="shared" si="34"/>
      </c>
      <c r="AR37" s="420">
        <f t="shared" si="35"/>
      </c>
      <c r="AS37" s="421">
        <f t="shared" si="36"/>
      </c>
      <c r="AT37" s="416"/>
      <c r="AU37" s="393">
        <f t="shared" si="37"/>
      </c>
      <c r="AV37" s="514">
        <f t="shared" si="38"/>
      </c>
    </row>
    <row r="38" spans="1:48" ht="15" customHeight="1">
      <c r="A38" s="512"/>
      <c r="B38" s="393">
        <f t="shared" si="2"/>
      </c>
      <c r="C38" s="394">
        <f t="shared" si="3"/>
      </c>
      <c r="D38" s="416"/>
      <c r="E38" s="394">
        <f t="shared" si="4"/>
      </c>
      <c r="F38" s="394">
        <f t="shared" si="5"/>
      </c>
      <c r="G38" s="394">
        <f t="shared" si="6"/>
      </c>
      <c r="H38" s="394">
        <f t="shared" si="7"/>
      </c>
      <c r="I38" s="394">
        <f t="shared" si="8"/>
      </c>
      <c r="J38" s="394">
        <f t="shared" si="9"/>
      </c>
      <c r="K38" s="395">
        <f t="shared" si="10"/>
      </c>
      <c r="L38" s="420">
        <f t="shared" si="11"/>
      </c>
      <c r="M38" s="421">
        <f t="shared" si="12"/>
      </c>
      <c r="N38" s="416"/>
      <c r="O38" s="393">
        <f t="shared" si="13"/>
      </c>
      <c r="P38" s="514">
        <f t="shared" si="14"/>
      </c>
      <c r="Q38" s="512"/>
      <c r="R38" s="393">
        <f t="shared" si="15"/>
      </c>
      <c r="S38" s="394">
        <f t="shared" si="16"/>
      </c>
      <c r="T38" s="416"/>
      <c r="U38" s="394">
        <f t="shared" si="17"/>
      </c>
      <c r="V38" s="394">
        <f t="shared" si="18"/>
      </c>
      <c r="W38" s="394">
        <f t="shared" si="19"/>
      </c>
      <c r="X38" s="394">
        <f t="shared" si="20"/>
      </c>
      <c r="Y38" s="394">
        <f t="shared" si="21"/>
      </c>
      <c r="Z38" s="394">
        <f t="shared" si="22"/>
      </c>
      <c r="AA38" s="395">
        <f t="shared" si="23"/>
      </c>
      <c r="AB38" s="420">
        <f t="shared" si="24"/>
      </c>
      <c r="AC38" s="421">
        <f t="shared" si="25"/>
      </c>
      <c r="AD38" s="416"/>
      <c r="AE38" s="393">
        <f t="shared" si="26"/>
      </c>
      <c r="AF38" s="514">
        <f t="shared" si="27"/>
      </c>
      <c r="AG38" s="512"/>
      <c r="AH38" s="393">
        <f t="shared" si="39"/>
      </c>
      <c r="AI38" s="394">
        <f t="shared" si="40"/>
      </c>
      <c r="AJ38" s="416"/>
      <c r="AK38" s="394">
        <f t="shared" si="28"/>
      </c>
      <c r="AL38" s="394">
        <f t="shared" si="29"/>
      </c>
      <c r="AM38" s="394">
        <f t="shared" si="30"/>
      </c>
      <c r="AN38" s="394">
        <f t="shared" si="31"/>
      </c>
      <c r="AO38" s="394">
        <f t="shared" si="32"/>
      </c>
      <c r="AP38" s="394">
        <f t="shared" si="33"/>
      </c>
      <c r="AQ38" s="395">
        <f t="shared" si="34"/>
      </c>
      <c r="AR38" s="420">
        <f t="shared" si="35"/>
      </c>
      <c r="AS38" s="421">
        <f t="shared" si="36"/>
      </c>
      <c r="AT38" s="416"/>
      <c r="AU38" s="393">
        <f t="shared" si="37"/>
      </c>
      <c r="AV38" s="514">
        <f t="shared" si="38"/>
      </c>
    </row>
    <row r="39" spans="1:48" ht="15" customHeight="1">
      <c r="A39" s="512"/>
      <c r="B39" s="393">
        <f t="shared" si="2"/>
      </c>
      <c r="C39" s="394">
        <f t="shared" si="3"/>
      </c>
      <c r="D39" s="416"/>
      <c r="E39" s="394">
        <f t="shared" si="4"/>
      </c>
      <c r="F39" s="394">
        <f t="shared" si="5"/>
      </c>
      <c r="G39" s="394">
        <f t="shared" si="6"/>
      </c>
      <c r="H39" s="394">
        <f t="shared" si="7"/>
      </c>
      <c r="I39" s="394">
        <f t="shared" si="8"/>
      </c>
      <c r="J39" s="394">
        <f t="shared" si="9"/>
      </c>
      <c r="K39" s="395">
        <f t="shared" si="10"/>
      </c>
      <c r="L39" s="420">
        <f t="shared" si="11"/>
      </c>
      <c r="M39" s="421">
        <f t="shared" si="12"/>
      </c>
      <c r="N39" s="416"/>
      <c r="O39" s="393">
        <f t="shared" si="13"/>
      </c>
      <c r="P39" s="514">
        <f t="shared" si="14"/>
      </c>
      <c r="Q39" s="512"/>
      <c r="R39" s="393">
        <f t="shared" si="15"/>
      </c>
      <c r="S39" s="394">
        <f t="shared" si="16"/>
      </c>
      <c r="T39" s="416"/>
      <c r="U39" s="394">
        <f t="shared" si="17"/>
      </c>
      <c r="V39" s="394">
        <f t="shared" si="18"/>
      </c>
      <c r="W39" s="394">
        <f t="shared" si="19"/>
      </c>
      <c r="X39" s="394">
        <f t="shared" si="20"/>
      </c>
      <c r="Y39" s="394">
        <f t="shared" si="21"/>
      </c>
      <c r="Z39" s="394">
        <f t="shared" si="22"/>
      </c>
      <c r="AA39" s="395">
        <f t="shared" si="23"/>
      </c>
      <c r="AB39" s="420">
        <f t="shared" si="24"/>
      </c>
      <c r="AC39" s="421">
        <f t="shared" si="25"/>
      </c>
      <c r="AD39" s="416"/>
      <c r="AE39" s="393">
        <f t="shared" si="26"/>
      </c>
      <c r="AF39" s="514">
        <f t="shared" si="27"/>
      </c>
      <c r="AG39" s="512"/>
      <c r="AH39" s="393">
        <f t="shared" si="39"/>
      </c>
      <c r="AI39" s="394">
        <f t="shared" si="40"/>
      </c>
      <c r="AJ39" s="416"/>
      <c r="AK39" s="394">
        <f t="shared" si="28"/>
      </c>
      <c r="AL39" s="394">
        <f t="shared" si="29"/>
      </c>
      <c r="AM39" s="394">
        <f t="shared" si="30"/>
      </c>
      <c r="AN39" s="394">
        <f t="shared" si="31"/>
      </c>
      <c r="AO39" s="394">
        <f t="shared" si="32"/>
      </c>
      <c r="AP39" s="394">
        <f t="shared" si="33"/>
      </c>
      <c r="AQ39" s="395">
        <f t="shared" si="34"/>
      </c>
      <c r="AR39" s="420">
        <f t="shared" si="35"/>
      </c>
      <c r="AS39" s="421">
        <f t="shared" si="36"/>
      </c>
      <c r="AT39" s="416"/>
      <c r="AU39" s="393">
        <f t="shared" si="37"/>
      </c>
      <c r="AV39" s="514">
        <f t="shared" si="38"/>
      </c>
    </row>
    <row r="40" spans="1:48" ht="15" customHeight="1">
      <c r="A40" s="512"/>
      <c r="B40" s="393">
        <f t="shared" si="2"/>
      </c>
      <c r="C40" s="394">
        <f t="shared" si="3"/>
      </c>
      <c r="D40" s="416"/>
      <c r="E40" s="394">
        <f t="shared" si="4"/>
      </c>
      <c r="F40" s="394">
        <f t="shared" si="5"/>
      </c>
      <c r="G40" s="394">
        <f t="shared" si="6"/>
      </c>
      <c r="H40" s="394">
        <f t="shared" si="7"/>
      </c>
      <c r="I40" s="394">
        <f t="shared" si="8"/>
      </c>
      <c r="J40" s="394">
        <f t="shared" si="9"/>
      </c>
      <c r="K40" s="395">
        <f t="shared" si="10"/>
      </c>
      <c r="L40" s="420">
        <f t="shared" si="11"/>
      </c>
      <c r="M40" s="421">
        <f t="shared" si="12"/>
      </c>
      <c r="N40" s="416"/>
      <c r="O40" s="393">
        <f t="shared" si="13"/>
      </c>
      <c r="P40" s="514">
        <f t="shared" si="14"/>
      </c>
      <c r="Q40" s="512"/>
      <c r="R40" s="393">
        <f t="shared" si="15"/>
      </c>
      <c r="S40" s="394">
        <f t="shared" si="16"/>
      </c>
      <c r="T40" s="416"/>
      <c r="U40" s="394">
        <f t="shared" si="17"/>
      </c>
      <c r="V40" s="394">
        <f t="shared" si="18"/>
      </c>
      <c r="W40" s="394">
        <f t="shared" si="19"/>
      </c>
      <c r="X40" s="394">
        <f t="shared" si="20"/>
      </c>
      <c r="Y40" s="394">
        <f t="shared" si="21"/>
      </c>
      <c r="Z40" s="394">
        <f t="shared" si="22"/>
      </c>
      <c r="AA40" s="395">
        <f t="shared" si="23"/>
      </c>
      <c r="AB40" s="420">
        <f t="shared" si="24"/>
      </c>
      <c r="AC40" s="421">
        <f t="shared" si="25"/>
      </c>
      <c r="AD40" s="416"/>
      <c r="AE40" s="393">
        <f t="shared" si="26"/>
      </c>
      <c r="AF40" s="514">
        <f t="shared" si="27"/>
      </c>
      <c r="AG40" s="512"/>
      <c r="AH40" s="393">
        <f t="shared" si="39"/>
      </c>
      <c r="AI40" s="394">
        <f t="shared" si="40"/>
      </c>
      <c r="AJ40" s="416"/>
      <c r="AK40" s="394">
        <f t="shared" si="28"/>
      </c>
      <c r="AL40" s="394">
        <f t="shared" si="29"/>
      </c>
      <c r="AM40" s="394">
        <f t="shared" si="30"/>
      </c>
      <c r="AN40" s="394">
        <f t="shared" si="31"/>
      </c>
      <c r="AO40" s="394">
        <f t="shared" si="32"/>
      </c>
      <c r="AP40" s="394">
        <f t="shared" si="33"/>
      </c>
      <c r="AQ40" s="395">
        <f t="shared" si="34"/>
      </c>
      <c r="AR40" s="420">
        <f t="shared" si="35"/>
      </c>
      <c r="AS40" s="421">
        <f t="shared" si="36"/>
      </c>
      <c r="AT40" s="416"/>
      <c r="AU40" s="393">
        <f t="shared" si="37"/>
      </c>
      <c r="AV40" s="514">
        <f t="shared" si="38"/>
      </c>
    </row>
    <row r="41" spans="1:48" ht="15" customHeight="1">
      <c r="A41" s="512"/>
      <c r="B41" s="393">
        <f t="shared" si="2"/>
      </c>
      <c r="C41" s="394">
        <f t="shared" si="3"/>
      </c>
      <c r="D41" s="416"/>
      <c r="E41" s="394">
        <f t="shared" si="4"/>
      </c>
      <c r="F41" s="394">
        <f t="shared" si="5"/>
      </c>
      <c r="G41" s="394">
        <f t="shared" si="6"/>
      </c>
      <c r="H41" s="394">
        <f t="shared" si="7"/>
      </c>
      <c r="I41" s="394">
        <f t="shared" si="8"/>
      </c>
      <c r="J41" s="394">
        <f t="shared" si="9"/>
      </c>
      <c r="K41" s="395">
        <f t="shared" si="10"/>
      </c>
      <c r="L41" s="420">
        <f t="shared" si="11"/>
      </c>
      <c r="M41" s="421">
        <f t="shared" si="12"/>
      </c>
      <c r="N41" s="416"/>
      <c r="O41" s="393">
        <f t="shared" si="13"/>
      </c>
      <c r="P41" s="514">
        <f t="shared" si="14"/>
      </c>
      <c r="Q41" s="512"/>
      <c r="R41" s="393">
        <f t="shared" si="15"/>
      </c>
      <c r="S41" s="394">
        <f t="shared" si="16"/>
      </c>
      <c r="T41" s="416"/>
      <c r="U41" s="394">
        <f t="shared" si="17"/>
      </c>
      <c r="V41" s="394">
        <f t="shared" si="18"/>
      </c>
      <c r="W41" s="394">
        <f t="shared" si="19"/>
      </c>
      <c r="X41" s="394">
        <f t="shared" si="20"/>
      </c>
      <c r="Y41" s="394">
        <f t="shared" si="21"/>
      </c>
      <c r="Z41" s="394">
        <f t="shared" si="22"/>
      </c>
      <c r="AA41" s="395">
        <f t="shared" si="23"/>
      </c>
      <c r="AB41" s="420">
        <f t="shared" si="24"/>
      </c>
      <c r="AC41" s="421">
        <f t="shared" si="25"/>
      </c>
      <c r="AD41" s="416"/>
      <c r="AE41" s="393">
        <f t="shared" si="26"/>
      </c>
      <c r="AF41" s="514">
        <f t="shared" si="27"/>
      </c>
      <c r="AG41" s="512"/>
      <c r="AH41" s="393">
        <f t="shared" si="39"/>
      </c>
      <c r="AI41" s="394">
        <f t="shared" si="40"/>
      </c>
      <c r="AJ41" s="416"/>
      <c r="AK41" s="394">
        <f t="shared" si="28"/>
      </c>
      <c r="AL41" s="394">
        <f t="shared" si="29"/>
      </c>
      <c r="AM41" s="394">
        <f t="shared" si="30"/>
      </c>
      <c r="AN41" s="394">
        <f t="shared" si="31"/>
      </c>
      <c r="AO41" s="394">
        <f t="shared" si="32"/>
      </c>
      <c r="AP41" s="394">
        <f t="shared" si="33"/>
      </c>
      <c r="AQ41" s="395">
        <f t="shared" si="34"/>
      </c>
      <c r="AR41" s="420">
        <f t="shared" si="35"/>
      </c>
      <c r="AS41" s="421">
        <f t="shared" si="36"/>
      </c>
      <c r="AT41" s="416"/>
      <c r="AU41" s="393">
        <f t="shared" si="37"/>
      </c>
      <c r="AV41" s="514">
        <f t="shared" si="38"/>
      </c>
    </row>
    <row r="42" spans="1:48" ht="15" customHeight="1">
      <c r="A42" s="512"/>
      <c r="B42" s="393">
        <f t="shared" si="2"/>
      </c>
      <c r="C42" s="394">
        <f t="shared" si="3"/>
      </c>
      <c r="D42" s="416"/>
      <c r="E42" s="394">
        <f t="shared" si="4"/>
      </c>
      <c r="F42" s="394">
        <f t="shared" si="5"/>
      </c>
      <c r="G42" s="394">
        <f t="shared" si="6"/>
      </c>
      <c r="H42" s="394">
        <f t="shared" si="7"/>
      </c>
      <c r="I42" s="394">
        <f t="shared" si="8"/>
      </c>
      <c r="J42" s="394">
        <f t="shared" si="9"/>
      </c>
      <c r="K42" s="395">
        <f t="shared" si="10"/>
      </c>
      <c r="L42" s="420">
        <f t="shared" si="11"/>
      </c>
      <c r="M42" s="421">
        <f t="shared" si="12"/>
      </c>
      <c r="N42" s="416"/>
      <c r="O42" s="393">
        <f t="shared" si="13"/>
      </c>
      <c r="P42" s="514">
        <f t="shared" si="14"/>
      </c>
      <c r="Q42" s="512"/>
      <c r="R42" s="393">
        <f t="shared" si="15"/>
      </c>
      <c r="S42" s="394">
        <f t="shared" si="16"/>
      </c>
      <c r="T42" s="416"/>
      <c r="U42" s="394">
        <f t="shared" si="17"/>
      </c>
      <c r="V42" s="394">
        <f t="shared" si="18"/>
      </c>
      <c r="W42" s="394">
        <f t="shared" si="19"/>
      </c>
      <c r="X42" s="394">
        <f t="shared" si="20"/>
      </c>
      <c r="Y42" s="394">
        <f t="shared" si="21"/>
      </c>
      <c r="Z42" s="394">
        <f t="shared" si="22"/>
      </c>
      <c r="AA42" s="395">
        <f t="shared" si="23"/>
      </c>
      <c r="AB42" s="420">
        <f t="shared" si="24"/>
      </c>
      <c r="AC42" s="421">
        <f t="shared" si="25"/>
      </c>
      <c r="AD42" s="416"/>
      <c r="AE42" s="393">
        <f t="shared" si="26"/>
      </c>
      <c r="AF42" s="514">
        <f t="shared" si="27"/>
      </c>
      <c r="AG42" s="512"/>
      <c r="AH42" s="393">
        <f t="shared" si="39"/>
      </c>
      <c r="AI42" s="394">
        <f t="shared" si="40"/>
      </c>
      <c r="AJ42" s="416"/>
      <c r="AK42" s="394">
        <f t="shared" si="28"/>
      </c>
      <c r="AL42" s="394">
        <f t="shared" si="29"/>
      </c>
      <c r="AM42" s="394">
        <f t="shared" si="30"/>
      </c>
      <c r="AN42" s="394">
        <f t="shared" si="31"/>
      </c>
      <c r="AO42" s="394">
        <f t="shared" si="32"/>
      </c>
      <c r="AP42" s="394">
        <f t="shared" si="33"/>
      </c>
      <c r="AQ42" s="395">
        <f t="shared" si="34"/>
      </c>
      <c r="AR42" s="420">
        <f t="shared" si="35"/>
      </c>
      <c r="AS42" s="421">
        <f t="shared" si="36"/>
      </c>
      <c r="AT42" s="416"/>
      <c r="AU42" s="393">
        <f t="shared" si="37"/>
      </c>
      <c r="AV42" s="514">
        <f t="shared" si="38"/>
      </c>
    </row>
    <row r="43" spans="1:48" ht="15" customHeight="1">
      <c r="A43" s="512"/>
      <c r="B43" s="393">
        <f t="shared" si="2"/>
      </c>
      <c r="C43" s="394">
        <f t="shared" si="3"/>
      </c>
      <c r="D43" s="416"/>
      <c r="E43" s="394">
        <f t="shared" si="4"/>
      </c>
      <c r="F43" s="394">
        <f t="shared" si="5"/>
      </c>
      <c r="G43" s="394">
        <f t="shared" si="6"/>
      </c>
      <c r="H43" s="394">
        <f t="shared" si="7"/>
      </c>
      <c r="I43" s="394">
        <f t="shared" si="8"/>
      </c>
      <c r="J43" s="394">
        <f t="shared" si="9"/>
      </c>
      <c r="K43" s="395">
        <f t="shared" si="10"/>
      </c>
      <c r="L43" s="420">
        <f t="shared" si="11"/>
      </c>
      <c r="M43" s="421">
        <f t="shared" si="12"/>
      </c>
      <c r="N43" s="416"/>
      <c r="O43" s="393">
        <f t="shared" si="13"/>
      </c>
      <c r="P43" s="514">
        <f t="shared" si="14"/>
      </c>
      <c r="Q43" s="512"/>
      <c r="R43" s="393">
        <f t="shared" si="15"/>
      </c>
      <c r="S43" s="394">
        <f t="shared" si="16"/>
      </c>
      <c r="T43" s="416"/>
      <c r="U43" s="394">
        <f t="shared" si="17"/>
      </c>
      <c r="V43" s="394">
        <f t="shared" si="18"/>
      </c>
      <c r="W43" s="394">
        <f t="shared" si="19"/>
      </c>
      <c r="X43" s="394">
        <f t="shared" si="20"/>
      </c>
      <c r="Y43" s="394">
        <f t="shared" si="21"/>
      </c>
      <c r="Z43" s="394">
        <f t="shared" si="22"/>
      </c>
      <c r="AA43" s="395">
        <f t="shared" si="23"/>
      </c>
      <c r="AB43" s="420">
        <f t="shared" si="24"/>
      </c>
      <c r="AC43" s="421">
        <f t="shared" si="25"/>
      </c>
      <c r="AD43" s="416"/>
      <c r="AE43" s="393">
        <f t="shared" si="26"/>
      </c>
      <c r="AF43" s="514">
        <f t="shared" si="27"/>
      </c>
      <c r="AG43" s="512"/>
      <c r="AH43" s="393">
        <f t="shared" si="39"/>
      </c>
      <c r="AI43" s="394">
        <f t="shared" si="40"/>
      </c>
      <c r="AJ43" s="416"/>
      <c r="AK43" s="394">
        <f t="shared" si="28"/>
      </c>
      <c r="AL43" s="394">
        <f t="shared" si="29"/>
      </c>
      <c r="AM43" s="394">
        <f t="shared" si="30"/>
      </c>
      <c r="AN43" s="394">
        <f t="shared" si="31"/>
      </c>
      <c r="AO43" s="394">
        <f t="shared" si="32"/>
      </c>
      <c r="AP43" s="394">
        <f t="shared" si="33"/>
      </c>
      <c r="AQ43" s="395">
        <f t="shared" si="34"/>
      </c>
      <c r="AR43" s="420">
        <f t="shared" si="35"/>
      </c>
      <c r="AS43" s="421">
        <f t="shared" si="36"/>
      </c>
      <c r="AT43" s="416"/>
      <c r="AU43" s="393">
        <f t="shared" si="37"/>
      </c>
      <c r="AV43" s="514">
        <f t="shared" si="38"/>
      </c>
    </row>
    <row r="44" spans="1:48" ht="15" customHeight="1">
      <c r="A44" s="512"/>
      <c r="B44" s="393">
        <f t="shared" si="2"/>
      </c>
      <c r="C44" s="394">
        <f t="shared" si="3"/>
      </c>
      <c r="D44" s="416"/>
      <c r="E44" s="394">
        <f t="shared" si="4"/>
      </c>
      <c r="F44" s="394">
        <f t="shared" si="5"/>
      </c>
      <c r="G44" s="394">
        <f t="shared" si="6"/>
      </c>
      <c r="H44" s="394">
        <f t="shared" si="7"/>
      </c>
      <c r="I44" s="394">
        <f t="shared" si="8"/>
      </c>
      <c r="J44" s="394">
        <f t="shared" si="9"/>
      </c>
      <c r="K44" s="395">
        <f t="shared" si="10"/>
      </c>
      <c r="L44" s="420">
        <f t="shared" si="11"/>
      </c>
      <c r="M44" s="421">
        <f t="shared" si="12"/>
      </c>
      <c r="N44" s="416"/>
      <c r="O44" s="393">
        <f t="shared" si="13"/>
      </c>
      <c r="P44" s="514">
        <f t="shared" si="14"/>
      </c>
      <c r="Q44" s="512"/>
      <c r="R44" s="393">
        <f t="shared" si="15"/>
      </c>
      <c r="S44" s="394">
        <f t="shared" si="16"/>
      </c>
      <c r="T44" s="416"/>
      <c r="U44" s="394">
        <f t="shared" si="17"/>
      </c>
      <c r="V44" s="394">
        <f t="shared" si="18"/>
      </c>
      <c r="W44" s="394">
        <f t="shared" si="19"/>
      </c>
      <c r="X44" s="394">
        <f t="shared" si="20"/>
      </c>
      <c r="Y44" s="394">
        <f t="shared" si="21"/>
      </c>
      <c r="Z44" s="394">
        <f t="shared" si="22"/>
      </c>
      <c r="AA44" s="395">
        <f t="shared" si="23"/>
      </c>
      <c r="AB44" s="420">
        <f t="shared" si="24"/>
      </c>
      <c r="AC44" s="421">
        <f t="shared" si="25"/>
      </c>
      <c r="AD44" s="416"/>
      <c r="AE44" s="393">
        <f t="shared" si="26"/>
      </c>
      <c r="AF44" s="514">
        <f t="shared" si="27"/>
      </c>
      <c r="AG44" s="512"/>
      <c r="AH44" s="393">
        <f t="shared" si="39"/>
      </c>
      <c r="AI44" s="394">
        <f t="shared" si="40"/>
      </c>
      <c r="AJ44" s="416"/>
      <c r="AK44" s="394">
        <f t="shared" si="28"/>
      </c>
      <c r="AL44" s="394">
        <f t="shared" si="29"/>
      </c>
      <c r="AM44" s="394">
        <f t="shared" si="30"/>
      </c>
      <c r="AN44" s="394">
        <f t="shared" si="31"/>
      </c>
      <c r="AO44" s="394">
        <f t="shared" si="32"/>
      </c>
      <c r="AP44" s="394">
        <f t="shared" si="33"/>
      </c>
      <c r="AQ44" s="395">
        <f t="shared" si="34"/>
      </c>
      <c r="AR44" s="420">
        <f t="shared" si="35"/>
      </c>
      <c r="AS44" s="421">
        <f t="shared" si="36"/>
      </c>
      <c r="AT44" s="416"/>
      <c r="AU44" s="393">
        <f t="shared" si="37"/>
      </c>
      <c r="AV44" s="514">
        <f t="shared" si="38"/>
      </c>
    </row>
    <row r="45" spans="1:48" ht="15" customHeight="1">
      <c r="A45" s="512"/>
      <c r="B45" s="393">
        <f t="shared" si="2"/>
      </c>
      <c r="C45" s="394">
        <f t="shared" si="3"/>
      </c>
      <c r="D45" s="416"/>
      <c r="E45" s="394">
        <f t="shared" si="4"/>
      </c>
      <c r="F45" s="394">
        <f t="shared" si="5"/>
      </c>
      <c r="G45" s="394">
        <f t="shared" si="6"/>
      </c>
      <c r="H45" s="394">
        <f t="shared" si="7"/>
      </c>
      <c r="I45" s="394">
        <f t="shared" si="8"/>
      </c>
      <c r="J45" s="394">
        <f t="shared" si="9"/>
      </c>
      <c r="K45" s="395">
        <f t="shared" si="10"/>
      </c>
      <c r="L45" s="420">
        <f t="shared" si="11"/>
      </c>
      <c r="M45" s="421">
        <f t="shared" si="12"/>
      </c>
      <c r="N45" s="416"/>
      <c r="O45" s="393">
        <f t="shared" si="13"/>
      </c>
      <c r="P45" s="514">
        <f t="shared" si="14"/>
      </c>
      <c r="Q45" s="512"/>
      <c r="R45" s="393">
        <f t="shared" si="15"/>
      </c>
      <c r="S45" s="394">
        <f t="shared" si="16"/>
      </c>
      <c r="T45" s="416"/>
      <c r="U45" s="394">
        <f t="shared" si="17"/>
      </c>
      <c r="V45" s="394">
        <f t="shared" si="18"/>
      </c>
      <c r="W45" s="394">
        <f t="shared" si="19"/>
      </c>
      <c r="X45" s="394">
        <f t="shared" si="20"/>
      </c>
      <c r="Y45" s="394">
        <f t="shared" si="21"/>
      </c>
      <c r="Z45" s="394">
        <f t="shared" si="22"/>
      </c>
      <c r="AA45" s="395">
        <f t="shared" si="23"/>
      </c>
      <c r="AB45" s="420">
        <f t="shared" si="24"/>
      </c>
      <c r="AC45" s="421">
        <f t="shared" si="25"/>
      </c>
      <c r="AD45" s="416"/>
      <c r="AE45" s="393">
        <f t="shared" si="26"/>
      </c>
      <c r="AF45" s="514">
        <f t="shared" si="27"/>
      </c>
      <c r="AG45" s="512"/>
      <c r="AH45" s="393">
        <f t="shared" si="39"/>
      </c>
      <c r="AI45" s="394">
        <f t="shared" si="40"/>
      </c>
      <c r="AJ45" s="416"/>
      <c r="AK45" s="394">
        <f t="shared" si="28"/>
      </c>
      <c r="AL45" s="394">
        <f t="shared" si="29"/>
      </c>
      <c r="AM45" s="394">
        <f t="shared" si="30"/>
      </c>
      <c r="AN45" s="394">
        <f t="shared" si="31"/>
      </c>
      <c r="AO45" s="394">
        <f t="shared" si="32"/>
      </c>
      <c r="AP45" s="394">
        <f t="shared" si="33"/>
      </c>
      <c r="AQ45" s="395">
        <f t="shared" si="34"/>
      </c>
      <c r="AR45" s="420">
        <f t="shared" si="35"/>
      </c>
      <c r="AS45" s="421">
        <f t="shared" si="36"/>
      </c>
      <c r="AT45" s="416"/>
      <c r="AU45" s="393">
        <f t="shared" si="37"/>
      </c>
      <c r="AV45" s="514">
        <f t="shared" si="38"/>
      </c>
    </row>
    <row r="46" spans="1:48" ht="15" customHeight="1">
      <c r="A46" s="512"/>
      <c r="B46" s="393">
        <f t="shared" si="2"/>
      </c>
      <c r="C46" s="394">
        <f t="shared" si="3"/>
      </c>
      <c r="D46" s="416"/>
      <c r="E46" s="394">
        <f t="shared" si="4"/>
      </c>
      <c r="F46" s="394">
        <f t="shared" si="5"/>
      </c>
      <c r="G46" s="394">
        <f t="shared" si="6"/>
      </c>
      <c r="H46" s="394">
        <f t="shared" si="7"/>
      </c>
      <c r="I46" s="394">
        <f t="shared" si="8"/>
      </c>
      <c r="J46" s="394">
        <f t="shared" si="9"/>
      </c>
      <c r="K46" s="395">
        <f t="shared" si="10"/>
      </c>
      <c r="L46" s="420">
        <f t="shared" si="11"/>
      </c>
      <c r="M46" s="421">
        <f t="shared" si="12"/>
      </c>
      <c r="N46" s="416"/>
      <c r="O46" s="393">
        <f t="shared" si="13"/>
      </c>
      <c r="P46" s="514">
        <f t="shared" si="14"/>
      </c>
      <c r="Q46" s="512"/>
      <c r="R46" s="393">
        <f t="shared" si="15"/>
      </c>
      <c r="S46" s="394">
        <f t="shared" si="16"/>
      </c>
      <c r="T46" s="416"/>
      <c r="U46" s="394">
        <f t="shared" si="17"/>
      </c>
      <c r="V46" s="394">
        <f t="shared" si="18"/>
      </c>
      <c r="W46" s="394">
        <f t="shared" si="19"/>
      </c>
      <c r="X46" s="394">
        <f t="shared" si="20"/>
      </c>
      <c r="Y46" s="394">
        <f t="shared" si="21"/>
      </c>
      <c r="Z46" s="394">
        <f t="shared" si="22"/>
      </c>
      <c r="AA46" s="395">
        <f t="shared" si="23"/>
      </c>
      <c r="AB46" s="420">
        <f t="shared" si="24"/>
      </c>
      <c r="AC46" s="421">
        <f t="shared" si="25"/>
      </c>
      <c r="AD46" s="416"/>
      <c r="AE46" s="393">
        <f t="shared" si="26"/>
      </c>
      <c r="AF46" s="514">
        <f t="shared" si="27"/>
      </c>
      <c r="AG46" s="512"/>
      <c r="AH46" s="393">
        <f t="shared" si="39"/>
      </c>
      <c r="AI46" s="394">
        <f t="shared" si="40"/>
      </c>
      <c r="AJ46" s="416"/>
      <c r="AK46" s="394">
        <f t="shared" si="28"/>
      </c>
      <c r="AL46" s="394">
        <f t="shared" si="29"/>
      </c>
      <c r="AM46" s="394">
        <f t="shared" si="30"/>
      </c>
      <c r="AN46" s="394">
        <f t="shared" si="31"/>
      </c>
      <c r="AO46" s="394">
        <f t="shared" si="32"/>
      </c>
      <c r="AP46" s="394">
        <f t="shared" si="33"/>
      </c>
      <c r="AQ46" s="395">
        <f t="shared" si="34"/>
      </c>
      <c r="AR46" s="420">
        <f t="shared" si="35"/>
      </c>
      <c r="AS46" s="421">
        <f t="shared" si="36"/>
      </c>
      <c r="AT46" s="416"/>
      <c r="AU46" s="393">
        <f t="shared" si="37"/>
      </c>
      <c r="AV46" s="514">
        <f t="shared" si="38"/>
      </c>
    </row>
    <row r="47" spans="1:48" ht="15" customHeight="1">
      <c r="A47" s="512"/>
      <c r="B47" s="393">
        <f t="shared" si="2"/>
      </c>
      <c r="C47" s="394">
        <f t="shared" si="3"/>
      </c>
      <c r="D47" s="416"/>
      <c r="E47" s="394">
        <f t="shared" si="4"/>
      </c>
      <c r="F47" s="394">
        <f t="shared" si="5"/>
      </c>
      <c r="G47" s="394">
        <f t="shared" si="6"/>
      </c>
      <c r="H47" s="394">
        <f t="shared" si="7"/>
      </c>
      <c r="I47" s="394">
        <f t="shared" si="8"/>
      </c>
      <c r="J47" s="394">
        <f t="shared" si="9"/>
      </c>
      <c r="K47" s="395">
        <f t="shared" si="10"/>
      </c>
      <c r="L47" s="420">
        <f t="shared" si="11"/>
      </c>
      <c r="M47" s="421">
        <f t="shared" si="12"/>
      </c>
      <c r="N47" s="416"/>
      <c r="O47" s="393">
        <f t="shared" si="13"/>
      </c>
      <c r="P47" s="514">
        <f t="shared" si="14"/>
      </c>
      <c r="Q47" s="512"/>
      <c r="R47" s="393">
        <f t="shared" si="15"/>
      </c>
      <c r="S47" s="394">
        <f t="shared" si="16"/>
      </c>
      <c r="T47" s="416"/>
      <c r="U47" s="394">
        <f t="shared" si="17"/>
      </c>
      <c r="V47" s="394">
        <f t="shared" si="18"/>
      </c>
      <c r="W47" s="394">
        <f t="shared" si="19"/>
      </c>
      <c r="X47" s="394">
        <f t="shared" si="20"/>
      </c>
      <c r="Y47" s="394">
        <f t="shared" si="21"/>
      </c>
      <c r="Z47" s="394">
        <f t="shared" si="22"/>
      </c>
      <c r="AA47" s="395">
        <f t="shared" si="23"/>
      </c>
      <c r="AB47" s="420">
        <f t="shared" si="24"/>
      </c>
      <c r="AC47" s="421">
        <f t="shared" si="25"/>
      </c>
      <c r="AD47" s="416"/>
      <c r="AE47" s="393">
        <f t="shared" si="26"/>
      </c>
      <c r="AF47" s="514">
        <f t="shared" si="27"/>
      </c>
      <c r="AG47" s="512"/>
      <c r="AH47" s="393">
        <f t="shared" si="39"/>
      </c>
      <c r="AI47" s="394">
        <f t="shared" si="40"/>
      </c>
      <c r="AJ47" s="416"/>
      <c r="AK47" s="394">
        <f t="shared" si="28"/>
      </c>
      <c r="AL47" s="394">
        <f t="shared" si="29"/>
      </c>
      <c r="AM47" s="394">
        <f t="shared" si="30"/>
      </c>
      <c r="AN47" s="394">
        <f t="shared" si="31"/>
      </c>
      <c r="AO47" s="394">
        <f t="shared" si="32"/>
      </c>
      <c r="AP47" s="394">
        <f t="shared" si="33"/>
      </c>
      <c r="AQ47" s="395">
        <f t="shared" si="34"/>
      </c>
      <c r="AR47" s="420">
        <f t="shared" si="35"/>
      </c>
      <c r="AS47" s="421">
        <f t="shared" si="36"/>
      </c>
      <c r="AT47" s="416"/>
      <c r="AU47" s="393">
        <f t="shared" si="37"/>
      </c>
      <c r="AV47" s="514">
        <f t="shared" si="38"/>
      </c>
    </row>
    <row r="48" spans="1:48" ht="15" customHeight="1">
      <c r="A48" s="512"/>
      <c r="B48" s="393">
        <f t="shared" si="2"/>
      </c>
      <c r="C48" s="394">
        <f t="shared" si="3"/>
      </c>
      <c r="D48" s="416"/>
      <c r="E48" s="394">
        <f t="shared" si="4"/>
      </c>
      <c r="F48" s="394">
        <f t="shared" si="5"/>
      </c>
      <c r="G48" s="394">
        <f t="shared" si="6"/>
      </c>
      <c r="H48" s="394">
        <f t="shared" si="7"/>
      </c>
      <c r="I48" s="394">
        <f t="shared" si="8"/>
      </c>
      <c r="J48" s="394">
        <f t="shared" si="9"/>
      </c>
      <c r="K48" s="395">
        <f t="shared" si="10"/>
      </c>
      <c r="L48" s="420">
        <f t="shared" si="11"/>
      </c>
      <c r="M48" s="421">
        <f t="shared" si="12"/>
      </c>
      <c r="N48" s="416"/>
      <c r="O48" s="393">
        <f t="shared" si="13"/>
      </c>
      <c r="P48" s="514">
        <f t="shared" si="14"/>
      </c>
      <c r="Q48" s="512"/>
      <c r="R48" s="393">
        <f t="shared" si="15"/>
      </c>
      <c r="S48" s="394">
        <f t="shared" si="16"/>
      </c>
      <c r="T48" s="416"/>
      <c r="U48" s="394">
        <f t="shared" si="17"/>
      </c>
      <c r="V48" s="394">
        <f t="shared" si="18"/>
      </c>
      <c r="W48" s="394">
        <f t="shared" si="19"/>
      </c>
      <c r="X48" s="394">
        <f t="shared" si="20"/>
      </c>
      <c r="Y48" s="394">
        <f t="shared" si="21"/>
      </c>
      <c r="Z48" s="394">
        <f t="shared" si="22"/>
      </c>
      <c r="AA48" s="395">
        <f t="shared" si="23"/>
      </c>
      <c r="AB48" s="420">
        <f t="shared" si="24"/>
      </c>
      <c r="AC48" s="421">
        <f t="shared" si="25"/>
      </c>
      <c r="AD48" s="416"/>
      <c r="AE48" s="393">
        <f t="shared" si="26"/>
      </c>
      <c r="AF48" s="514">
        <f t="shared" si="27"/>
      </c>
      <c r="AG48" s="512"/>
      <c r="AH48" s="393">
        <f t="shared" si="39"/>
      </c>
      <c r="AI48" s="394">
        <f t="shared" si="40"/>
      </c>
      <c r="AJ48" s="416"/>
      <c r="AK48" s="394">
        <f t="shared" si="28"/>
      </c>
      <c r="AL48" s="394">
        <f t="shared" si="29"/>
      </c>
      <c r="AM48" s="394">
        <f t="shared" si="30"/>
      </c>
      <c r="AN48" s="394">
        <f t="shared" si="31"/>
      </c>
      <c r="AO48" s="394">
        <f t="shared" si="32"/>
      </c>
      <c r="AP48" s="394">
        <f t="shared" si="33"/>
      </c>
      <c r="AQ48" s="395">
        <f t="shared" si="34"/>
      </c>
      <c r="AR48" s="420">
        <f t="shared" si="35"/>
      </c>
      <c r="AS48" s="421">
        <f t="shared" si="36"/>
      </c>
      <c r="AT48" s="416"/>
      <c r="AU48" s="393">
        <f t="shared" si="37"/>
      </c>
      <c r="AV48" s="514">
        <f t="shared" si="38"/>
      </c>
    </row>
    <row r="49" spans="1:48" ht="15" customHeight="1">
      <c r="A49" s="512"/>
      <c r="B49" s="393">
        <f t="shared" si="2"/>
      </c>
      <c r="C49" s="394">
        <f t="shared" si="3"/>
      </c>
      <c r="D49" s="416"/>
      <c r="E49" s="394">
        <f t="shared" si="4"/>
      </c>
      <c r="F49" s="394">
        <f t="shared" si="5"/>
      </c>
      <c r="G49" s="394">
        <f t="shared" si="6"/>
      </c>
      <c r="H49" s="394">
        <f t="shared" si="7"/>
      </c>
      <c r="I49" s="394">
        <f t="shared" si="8"/>
      </c>
      <c r="J49" s="394">
        <f t="shared" si="9"/>
      </c>
      <c r="K49" s="395">
        <f t="shared" si="10"/>
      </c>
      <c r="L49" s="420">
        <f t="shared" si="11"/>
      </c>
      <c r="M49" s="421">
        <f t="shared" si="12"/>
      </c>
      <c r="N49" s="416"/>
      <c r="O49" s="393">
        <f t="shared" si="13"/>
      </c>
      <c r="P49" s="514">
        <f t="shared" si="14"/>
      </c>
      <c r="Q49" s="512"/>
      <c r="R49" s="393">
        <f t="shared" si="15"/>
      </c>
      <c r="S49" s="394">
        <f t="shared" si="16"/>
      </c>
      <c r="T49" s="416"/>
      <c r="U49" s="394">
        <f t="shared" si="17"/>
      </c>
      <c r="V49" s="394">
        <f t="shared" si="18"/>
      </c>
      <c r="W49" s="394">
        <f t="shared" si="19"/>
      </c>
      <c r="X49" s="394">
        <f t="shared" si="20"/>
      </c>
      <c r="Y49" s="394">
        <f t="shared" si="21"/>
      </c>
      <c r="Z49" s="394">
        <f t="shared" si="22"/>
      </c>
      <c r="AA49" s="395">
        <f t="shared" si="23"/>
      </c>
      <c r="AB49" s="420">
        <f t="shared" si="24"/>
      </c>
      <c r="AC49" s="421">
        <f t="shared" si="25"/>
      </c>
      <c r="AD49" s="416"/>
      <c r="AE49" s="393">
        <f t="shared" si="26"/>
      </c>
      <c r="AF49" s="514">
        <f t="shared" si="27"/>
      </c>
      <c r="AG49" s="512"/>
      <c r="AH49" s="393">
        <f t="shared" si="39"/>
      </c>
      <c r="AI49" s="394">
        <f t="shared" si="40"/>
      </c>
      <c r="AJ49" s="416"/>
      <c r="AK49" s="394">
        <f t="shared" si="28"/>
      </c>
      <c r="AL49" s="394">
        <f t="shared" si="29"/>
      </c>
      <c r="AM49" s="394">
        <f t="shared" si="30"/>
      </c>
      <c r="AN49" s="394">
        <f t="shared" si="31"/>
      </c>
      <c r="AO49" s="394">
        <f t="shared" si="32"/>
      </c>
      <c r="AP49" s="394">
        <f t="shared" si="33"/>
      </c>
      <c r="AQ49" s="395">
        <f t="shared" si="34"/>
      </c>
      <c r="AR49" s="420">
        <f t="shared" si="35"/>
      </c>
      <c r="AS49" s="421">
        <f t="shared" si="36"/>
      </c>
      <c r="AT49" s="416"/>
      <c r="AU49" s="393">
        <f t="shared" si="37"/>
      </c>
      <c r="AV49" s="514">
        <f t="shared" si="38"/>
      </c>
    </row>
    <row r="50" spans="1:48" ht="15" customHeight="1">
      <c r="A50" s="512"/>
      <c r="B50" s="393">
        <f t="shared" si="2"/>
      </c>
      <c r="C50" s="394">
        <f t="shared" si="3"/>
      </c>
      <c r="D50" s="416"/>
      <c r="E50" s="394">
        <f t="shared" si="4"/>
      </c>
      <c r="F50" s="394">
        <f t="shared" si="5"/>
      </c>
      <c r="G50" s="394">
        <f t="shared" si="6"/>
      </c>
      <c r="H50" s="394">
        <f t="shared" si="7"/>
      </c>
      <c r="I50" s="394">
        <f t="shared" si="8"/>
      </c>
      <c r="J50" s="394">
        <f t="shared" si="9"/>
      </c>
      <c r="K50" s="395">
        <f t="shared" si="10"/>
      </c>
      <c r="L50" s="420">
        <f t="shared" si="11"/>
      </c>
      <c r="M50" s="421">
        <f t="shared" si="12"/>
      </c>
      <c r="N50" s="416"/>
      <c r="O50" s="393">
        <f t="shared" si="13"/>
      </c>
      <c r="P50" s="514">
        <f t="shared" si="14"/>
      </c>
      <c r="Q50" s="512"/>
      <c r="R50" s="393">
        <f t="shared" si="15"/>
      </c>
      <c r="S50" s="394">
        <f t="shared" si="16"/>
      </c>
      <c r="T50" s="416"/>
      <c r="U50" s="394">
        <f t="shared" si="17"/>
      </c>
      <c r="V50" s="394">
        <f t="shared" si="18"/>
      </c>
      <c r="W50" s="394">
        <f t="shared" si="19"/>
      </c>
      <c r="X50" s="394">
        <f t="shared" si="20"/>
      </c>
      <c r="Y50" s="394">
        <f t="shared" si="21"/>
      </c>
      <c r="Z50" s="394">
        <f t="shared" si="22"/>
      </c>
      <c r="AA50" s="395">
        <f t="shared" si="23"/>
      </c>
      <c r="AB50" s="420">
        <f t="shared" si="24"/>
      </c>
      <c r="AC50" s="421">
        <f t="shared" si="25"/>
      </c>
      <c r="AD50" s="416"/>
      <c r="AE50" s="393">
        <f t="shared" si="26"/>
      </c>
      <c r="AF50" s="514">
        <f t="shared" si="27"/>
      </c>
      <c r="AG50" s="512"/>
      <c r="AH50" s="393">
        <f t="shared" si="39"/>
      </c>
      <c r="AI50" s="394">
        <f t="shared" si="40"/>
      </c>
      <c r="AJ50" s="416"/>
      <c r="AK50" s="394">
        <f t="shared" si="28"/>
      </c>
      <c r="AL50" s="394">
        <f t="shared" si="29"/>
      </c>
      <c r="AM50" s="394">
        <f t="shared" si="30"/>
      </c>
      <c r="AN50" s="394">
        <f t="shared" si="31"/>
      </c>
      <c r="AO50" s="394">
        <f t="shared" si="32"/>
      </c>
      <c r="AP50" s="394">
        <f t="shared" si="33"/>
      </c>
      <c r="AQ50" s="395">
        <f t="shared" si="34"/>
      </c>
      <c r="AR50" s="420">
        <f t="shared" si="35"/>
      </c>
      <c r="AS50" s="421">
        <f t="shared" si="36"/>
      </c>
      <c r="AT50" s="416"/>
      <c r="AU50" s="393">
        <f t="shared" si="37"/>
      </c>
      <c r="AV50" s="514">
        <f t="shared" si="38"/>
      </c>
    </row>
    <row r="51" spans="1:48" ht="15" customHeight="1">
      <c r="A51" s="512"/>
      <c r="B51" s="393">
        <f t="shared" si="2"/>
      </c>
      <c r="C51" s="394">
        <f t="shared" si="3"/>
      </c>
      <c r="D51" s="416"/>
      <c r="E51" s="394">
        <f t="shared" si="4"/>
      </c>
      <c r="F51" s="394">
        <f t="shared" si="5"/>
      </c>
      <c r="G51" s="394">
        <f t="shared" si="6"/>
      </c>
      <c r="H51" s="394">
        <f t="shared" si="7"/>
      </c>
      <c r="I51" s="394">
        <f t="shared" si="8"/>
      </c>
      <c r="J51" s="394">
        <f t="shared" si="9"/>
      </c>
      <c r="K51" s="395">
        <f t="shared" si="10"/>
      </c>
      <c r="L51" s="420">
        <f t="shared" si="11"/>
      </c>
      <c r="M51" s="421">
        <f t="shared" si="12"/>
      </c>
      <c r="N51" s="416"/>
      <c r="O51" s="393">
        <f t="shared" si="13"/>
      </c>
      <c r="P51" s="514">
        <f t="shared" si="14"/>
      </c>
      <c r="Q51" s="512"/>
      <c r="R51" s="393">
        <f t="shared" si="15"/>
      </c>
      <c r="S51" s="394">
        <f t="shared" si="16"/>
      </c>
      <c r="T51" s="416"/>
      <c r="U51" s="394">
        <f t="shared" si="17"/>
      </c>
      <c r="V51" s="394">
        <f t="shared" si="18"/>
      </c>
      <c r="W51" s="394">
        <f t="shared" si="19"/>
      </c>
      <c r="X51" s="394">
        <f t="shared" si="20"/>
      </c>
      <c r="Y51" s="394">
        <f t="shared" si="21"/>
      </c>
      <c r="Z51" s="394">
        <f t="shared" si="22"/>
      </c>
      <c r="AA51" s="395">
        <f t="shared" si="23"/>
      </c>
      <c r="AB51" s="420">
        <f t="shared" si="24"/>
      </c>
      <c r="AC51" s="421">
        <f t="shared" si="25"/>
      </c>
      <c r="AD51" s="416"/>
      <c r="AE51" s="393">
        <f t="shared" si="26"/>
      </c>
      <c r="AF51" s="514">
        <f t="shared" si="27"/>
      </c>
      <c r="AG51" s="512"/>
      <c r="AH51" s="393">
        <f t="shared" si="39"/>
      </c>
      <c r="AI51" s="394">
        <f t="shared" si="40"/>
      </c>
      <c r="AJ51" s="416"/>
      <c r="AK51" s="394">
        <f t="shared" si="28"/>
      </c>
      <c r="AL51" s="394">
        <f t="shared" si="29"/>
      </c>
      <c r="AM51" s="394">
        <f t="shared" si="30"/>
      </c>
      <c r="AN51" s="394">
        <f t="shared" si="31"/>
      </c>
      <c r="AO51" s="394">
        <f t="shared" si="32"/>
      </c>
      <c r="AP51" s="394">
        <f t="shared" si="33"/>
      </c>
      <c r="AQ51" s="395">
        <f t="shared" si="34"/>
      </c>
      <c r="AR51" s="420">
        <f t="shared" si="35"/>
      </c>
      <c r="AS51" s="421">
        <f t="shared" si="36"/>
      </c>
      <c r="AT51" s="416"/>
      <c r="AU51" s="393">
        <f t="shared" si="37"/>
      </c>
      <c r="AV51" s="514">
        <f t="shared" si="38"/>
      </c>
    </row>
    <row r="52" spans="1:48" ht="15" customHeight="1">
      <c r="A52" s="512"/>
      <c r="B52" s="393">
        <f t="shared" si="2"/>
      </c>
      <c r="C52" s="394">
        <f t="shared" si="3"/>
      </c>
      <c r="D52" s="416"/>
      <c r="E52" s="394">
        <f t="shared" si="4"/>
      </c>
      <c r="F52" s="394">
        <f t="shared" si="5"/>
      </c>
      <c r="G52" s="394">
        <f t="shared" si="6"/>
      </c>
      <c r="H52" s="394">
        <f t="shared" si="7"/>
      </c>
      <c r="I52" s="394">
        <f t="shared" si="8"/>
      </c>
      <c r="J52" s="394">
        <f t="shared" si="9"/>
      </c>
      <c r="K52" s="395">
        <f t="shared" si="10"/>
      </c>
      <c r="L52" s="420">
        <f t="shared" si="11"/>
      </c>
      <c r="M52" s="421">
        <f t="shared" si="12"/>
      </c>
      <c r="N52" s="416"/>
      <c r="O52" s="393">
        <f t="shared" si="13"/>
      </c>
      <c r="P52" s="514">
        <f t="shared" si="14"/>
      </c>
      <c r="Q52" s="512"/>
      <c r="R52" s="393">
        <f t="shared" si="15"/>
      </c>
      <c r="S52" s="394">
        <f t="shared" si="16"/>
      </c>
      <c r="T52" s="416"/>
      <c r="U52" s="394">
        <f t="shared" si="17"/>
      </c>
      <c r="V52" s="394">
        <f t="shared" si="18"/>
      </c>
      <c r="W52" s="394">
        <f t="shared" si="19"/>
      </c>
      <c r="X52" s="394">
        <f t="shared" si="20"/>
      </c>
      <c r="Y52" s="394">
        <f t="shared" si="21"/>
      </c>
      <c r="Z52" s="394">
        <f t="shared" si="22"/>
      </c>
      <c r="AA52" s="395">
        <f t="shared" si="23"/>
      </c>
      <c r="AB52" s="420">
        <f t="shared" si="24"/>
      </c>
      <c r="AC52" s="421">
        <f t="shared" si="25"/>
      </c>
      <c r="AD52" s="416"/>
      <c r="AE52" s="393">
        <f t="shared" si="26"/>
      </c>
      <c r="AF52" s="514">
        <f t="shared" si="27"/>
      </c>
      <c r="AG52" s="512"/>
      <c r="AH52" s="393">
        <f t="shared" si="39"/>
      </c>
      <c r="AI52" s="394">
        <f t="shared" si="40"/>
      </c>
      <c r="AJ52" s="416"/>
      <c r="AK52" s="394">
        <f t="shared" si="28"/>
      </c>
      <c r="AL52" s="394">
        <f t="shared" si="29"/>
      </c>
      <c r="AM52" s="394">
        <f t="shared" si="30"/>
      </c>
      <c r="AN52" s="394">
        <f t="shared" si="31"/>
      </c>
      <c r="AO52" s="394">
        <f t="shared" si="32"/>
      </c>
      <c r="AP52" s="394">
        <f t="shared" si="33"/>
      </c>
      <c r="AQ52" s="395">
        <f t="shared" si="34"/>
      </c>
      <c r="AR52" s="420">
        <f t="shared" si="35"/>
      </c>
      <c r="AS52" s="421">
        <f t="shared" si="36"/>
      </c>
      <c r="AT52" s="416"/>
      <c r="AU52" s="393">
        <f t="shared" si="37"/>
      </c>
      <c r="AV52" s="514">
        <f t="shared" si="38"/>
      </c>
    </row>
    <row r="53" spans="1:48" ht="15" customHeight="1">
      <c r="A53" s="512"/>
      <c r="B53" s="393">
        <f t="shared" si="2"/>
      </c>
      <c r="C53" s="394">
        <f t="shared" si="3"/>
      </c>
      <c r="D53" s="416"/>
      <c r="E53" s="394">
        <f t="shared" si="4"/>
      </c>
      <c r="F53" s="394">
        <f t="shared" si="5"/>
      </c>
      <c r="G53" s="394">
        <f t="shared" si="6"/>
      </c>
      <c r="H53" s="394">
        <f t="shared" si="7"/>
      </c>
      <c r="I53" s="394">
        <f t="shared" si="8"/>
      </c>
      <c r="J53" s="394">
        <f t="shared" si="9"/>
      </c>
      <c r="K53" s="395">
        <f t="shared" si="10"/>
      </c>
      <c r="L53" s="420">
        <f t="shared" si="11"/>
      </c>
      <c r="M53" s="421">
        <f t="shared" si="12"/>
      </c>
      <c r="N53" s="416"/>
      <c r="O53" s="393">
        <f t="shared" si="13"/>
      </c>
      <c r="P53" s="514">
        <f t="shared" si="14"/>
      </c>
      <c r="Q53" s="512"/>
      <c r="R53" s="393">
        <f t="shared" si="15"/>
      </c>
      <c r="S53" s="394">
        <f t="shared" si="16"/>
      </c>
      <c r="T53" s="416"/>
      <c r="U53" s="394">
        <f t="shared" si="17"/>
      </c>
      <c r="V53" s="394">
        <f t="shared" si="18"/>
      </c>
      <c r="W53" s="394">
        <f t="shared" si="19"/>
      </c>
      <c r="X53" s="394">
        <f t="shared" si="20"/>
      </c>
      <c r="Y53" s="394">
        <f t="shared" si="21"/>
      </c>
      <c r="Z53" s="394">
        <f t="shared" si="22"/>
      </c>
      <c r="AA53" s="395">
        <f t="shared" si="23"/>
      </c>
      <c r="AB53" s="420">
        <f t="shared" si="24"/>
      </c>
      <c r="AC53" s="421">
        <f t="shared" si="25"/>
      </c>
      <c r="AD53" s="416"/>
      <c r="AE53" s="393">
        <f t="shared" si="26"/>
      </c>
      <c r="AF53" s="514">
        <f t="shared" si="27"/>
      </c>
      <c r="AG53" s="512"/>
      <c r="AH53" s="393">
        <f t="shared" si="39"/>
      </c>
      <c r="AI53" s="394">
        <f t="shared" si="40"/>
      </c>
      <c r="AJ53" s="416"/>
      <c r="AK53" s="394">
        <f t="shared" si="28"/>
      </c>
      <c r="AL53" s="394">
        <f t="shared" si="29"/>
      </c>
      <c r="AM53" s="394">
        <f t="shared" si="30"/>
      </c>
      <c r="AN53" s="394">
        <f t="shared" si="31"/>
      </c>
      <c r="AO53" s="394">
        <f t="shared" si="32"/>
      </c>
      <c r="AP53" s="394">
        <f t="shared" si="33"/>
      </c>
      <c r="AQ53" s="395">
        <f t="shared" si="34"/>
      </c>
      <c r="AR53" s="420">
        <f t="shared" si="35"/>
      </c>
      <c r="AS53" s="421">
        <f t="shared" si="36"/>
      </c>
      <c r="AT53" s="416"/>
      <c r="AU53" s="393">
        <f t="shared" si="37"/>
      </c>
      <c r="AV53" s="514">
        <f t="shared" si="38"/>
      </c>
    </row>
    <row r="54" spans="1:48" ht="15" customHeight="1">
      <c r="A54" s="512"/>
      <c r="B54" s="393">
        <f t="shared" si="2"/>
      </c>
      <c r="C54" s="394">
        <f t="shared" si="3"/>
      </c>
      <c r="D54" s="416"/>
      <c r="E54" s="394">
        <f t="shared" si="4"/>
      </c>
      <c r="F54" s="394">
        <f t="shared" si="5"/>
      </c>
      <c r="G54" s="394">
        <f t="shared" si="6"/>
      </c>
      <c r="H54" s="394">
        <f t="shared" si="7"/>
      </c>
      <c r="I54" s="394">
        <f t="shared" si="8"/>
      </c>
      <c r="J54" s="394">
        <f t="shared" si="9"/>
      </c>
      <c r="K54" s="395">
        <f t="shared" si="10"/>
      </c>
      <c r="L54" s="420">
        <f t="shared" si="11"/>
      </c>
      <c r="M54" s="421">
        <f t="shared" si="12"/>
      </c>
      <c r="N54" s="416"/>
      <c r="O54" s="393">
        <f t="shared" si="13"/>
      </c>
      <c r="P54" s="514">
        <f t="shared" si="14"/>
      </c>
      <c r="Q54" s="512"/>
      <c r="R54" s="393">
        <f t="shared" si="15"/>
      </c>
      <c r="S54" s="394">
        <f t="shared" si="16"/>
      </c>
      <c r="T54" s="416"/>
      <c r="U54" s="394">
        <f t="shared" si="17"/>
      </c>
      <c r="V54" s="394">
        <f t="shared" si="18"/>
      </c>
      <c r="W54" s="394">
        <f t="shared" si="19"/>
      </c>
      <c r="X54" s="394">
        <f t="shared" si="20"/>
      </c>
      <c r="Y54" s="394">
        <f t="shared" si="21"/>
      </c>
      <c r="Z54" s="394">
        <f t="shared" si="22"/>
      </c>
      <c r="AA54" s="395">
        <f t="shared" si="23"/>
      </c>
      <c r="AB54" s="420">
        <f t="shared" si="24"/>
      </c>
      <c r="AC54" s="421">
        <f t="shared" si="25"/>
      </c>
      <c r="AD54" s="416"/>
      <c r="AE54" s="393">
        <f t="shared" si="26"/>
      </c>
      <c r="AF54" s="514">
        <f t="shared" si="27"/>
      </c>
      <c r="AG54" s="512"/>
      <c r="AH54" s="393">
        <f t="shared" si="39"/>
      </c>
      <c r="AI54" s="394">
        <f t="shared" si="40"/>
      </c>
      <c r="AJ54" s="416"/>
      <c r="AK54" s="394">
        <f t="shared" si="28"/>
      </c>
      <c r="AL54" s="394">
        <f t="shared" si="29"/>
      </c>
      <c r="AM54" s="394">
        <f t="shared" si="30"/>
      </c>
      <c r="AN54" s="394">
        <f t="shared" si="31"/>
      </c>
      <c r="AO54" s="394">
        <f t="shared" si="32"/>
      </c>
      <c r="AP54" s="394">
        <f t="shared" si="33"/>
      </c>
      <c r="AQ54" s="395">
        <f t="shared" si="34"/>
      </c>
      <c r="AR54" s="420">
        <f t="shared" si="35"/>
      </c>
      <c r="AS54" s="421">
        <f t="shared" si="36"/>
      </c>
      <c r="AT54" s="416"/>
      <c r="AU54" s="393">
        <f t="shared" si="37"/>
      </c>
      <c r="AV54" s="514">
        <f t="shared" si="38"/>
      </c>
    </row>
    <row r="55" spans="1:48" ht="15" customHeight="1">
      <c r="A55" s="512"/>
      <c r="B55" s="393">
        <f t="shared" si="2"/>
      </c>
      <c r="C55" s="394">
        <f t="shared" si="3"/>
      </c>
      <c r="D55" s="416"/>
      <c r="E55" s="394">
        <f t="shared" si="4"/>
      </c>
      <c r="F55" s="394">
        <f t="shared" si="5"/>
      </c>
      <c r="G55" s="394">
        <f t="shared" si="6"/>
      </c>
      <c r="H55" s="394">
        <f t="shared" si="7"/>
      </c>
      <c r="I55" s="394">
        <f t="shared" si="8"/>
      </c>
      <c r="J55" s="394">
        <f t="shared" si="9"/>
      </c>
      <c r="K55" s="395">
        <f t="shared" si="10"/>
      </c>
      <c r="L55" s="420">
        <f t="shared" si="11"/>
      </c>
      <c r="M55" s="421">
        <f t="shared" si="12"/>
      </c>
      <c r="N55" s="416"/>
      <c r="O55" s="393">
        <f t="shared" si="13"/>
      </c>
      <c r="P55" s="514">
        <f t="shared" si="14"/>
      </c>
      <c r="Q55" s="512"/>
      <c r="R55" s="393">
        <f t="shared" si="15"/>
      </c>
      <c r="S55" s="394">
        <f t="shared" si="16"/>
      </c>
      <c r="T55" s="416"/>
      <c r="U55" s="394">
        <f t="shared" si="17"/>
      </c>
      <c r="V55" s="394">
        <f t="shared" si="18"/>
      </c>
      <c r="W55" s="394">
        <f t="shared" si="19"/>
      </c>
      <c r="X55" s="394">
        <f t="shared" si="20"/>
      </c>
      <c r="Y55" s="394">
        <f t="shared" si="21"/>
      </c>
      <c r="Z55" s="394">
        <f t="shared" si="22"/>
      </c>
      <c r="AA55" s="395">
        <f t="shared" si="23"/>
      </c>
      <c r="AB55" s="420">
        <f t="shared" si="24"/>
      </c>
      <c r="AC55" s="421">
        <f t="shared" si="25"/>
      </c>
      <c r="AD55" s="416"/>
      <c r="AE55" s="393">
        <f t="shared" si="26"/>
      </c>
      <c r="AF55" s="514">
        <f t="shared" si="27"/>
      </c>
      <c r="AG55" s="512"/>
      <c r="AH55" s="393">
        <f t="shared" si="39"/>
      </c>
      <c r="AI55" s="394">
        <f t="shared" si="40"/>
      </c>
      <c r="AJ55" s="416"/>
      <c r="AK55" s="394">
        <f t="shared" si="28"/>
      </c>
      <c r="AL55" s="394">
        <f t="shared" si="29"/>
      </c>
      <c r="AM55" s="394">
        <f t="shared" si="30"/>
      </c>
      <c r="AN55" s="394">
        <f t="shared" si="31"/>
      </c>
      <c r="AO55" s="394">
        <f t="shared" si="32"/>
      </c>
      <c r="AP55" s="394">
        <f t="shared" si="33"/>
      </c>
      <c r="AQ55" s="395">
        <f t="shared" si="34"/>
      </c>
      <c r="AR55" s="420">
        <f t="shared" si="35"/>
      </c>
      <c r="AS55" s="421">
        <f t="shared" si="36"/>
      </c>
      <c r="AT55" s="416"/>
      <c r="AU55" s="393">
        <f t="shared" si="37"/>
      </c>
      <c r="AV55" s="514">
        <f t="shared" si="38"/>
      </c>
    </row>
    <row r="56" spans="1:48" ht="15" customHeight="1">
      <c r="A56" s="512"/>
      <c r="B56" s="393">
        <f t="shared" si="2"/>
      </c>
      <c r="C56" s="394">
        <f t="shared" si="3"/>
      </c>
      <c r="D56" s="416"/>
      <c r="E56" s="394">
        <f t="shared" si="4"/>
      </c>
      <c r="F56" s="394">
        <f t="shared" si="5"/>
      </c>
      <c r="G56" s="394">
        <f t="shared" si="6"/>
      </c>
      <c r="H56" s="394">
        <f t="shared" si="7"/>
      </c>
      <c r="I56" s="394">
        <f t="shared" si="8"/>
      </c>
      <c r="J56" s="394">
        <f t="shared" si="9"/>
      </c>
      <c r="K56" s="395">
        <f t="shared" si="10"/>
      </c>
      <c r="L56" s="420">
        <f t="shared" si="11"/>
      </c>
      <c r="M56" s="421">
        <f t="shared" si="12"/>
      </c>
      <c r="N56" s="416"/>
      <c r="O56" s="393">
        <f t="shared" si="13"/>
      </c>
      <c r="P56" s="514">
        <f t="shared" si="14"/>
      </c>
      <c r="Q56" s="512"/>
      <c r="R56" s="393">
        <f t="shared" si="15"/>
      </c>
      <c r="S56" s="394">
        <f t="shared" si="16"/>
      </c>
      <c r="T56" s="416"/>
      <c r="U56" s="394">
        <f t="shared" si="17"/>
      </c>
      <c r="V56" s="394">
        <f t="shared" si="18"/>
      </c>
      <c r="W56" s="394">
        <f t="shared" si="19"/>
      </c>
      <c r="X56" s="394">
        <f t="shared" si="20"/>
      </c>
      <c r="Y56" s="394">
        <f t="shared" si="21"/>
      </c>
      <c r="Z56" s="394">
        <f t="shared" si="22"/>
      </c>
      <c r="AA56" s="395">
        <f t="shared" si="23"/>
      </c>
      <c r="AB56" s="420">
        <f t="shared" si="24"/>
      </c>
      <c r="AC56" s="421">
        <f t="shared" si="25"/>
      </c>
      <c r="AD56" s="416"/>
      <c r="AE56" s="393">
        <f t="shared" si="26"/>
      </c>
      <c r="AF56" s="514">
        <f t="shared" si="27"/>
      </c>
      <c r="AG56" s="512"/>
      <c r="AH56" s="393">
        <f t="shared" si="39"/>
      </c>
      <c r="AI56" s="394">
        <f t="shared" si="40"/>
      </c>
      <c r="AJ56" s="416"/>
      <c r="AK56" s="394">
        <f t="shared" si="28"/>
      </c>
      <c r="AL56" s="394">
        <f t="shared" si="29"/>
      </c>
      <c r="AM56" s="394">
        <f t="shared" si="30"/>
      </c>
      <c r="AN56" s="394">
        <f t="shared" si="31"/>
      </c>
      <c r="AO56" s="394">
        <f t="shared" si="32"/>
      </c>
      <c r="AP56" s="394">
        <f t="shared" si="33"/>
      </c>
      <c r="AQ56" s="395">
        <f t="shared" si="34"/>
      </c>
      <c r="AR56" s="420">
        <f t="shared" si="35"/>
      </c>
      <c r="AS56" s="421">
        <f t="shared" si="36"/>
      </c>
      <c r="AT56" s="416"/>
      <c r="AU56" s="393">
        <f t="shared" si="37"/>
      </c>
      <c r="AV56" s="514">
        <f t="shared" si="38"/>
      </c>
    </row>
    <row r="57" spans="1:48" ht="15" customHeight="1">
      <c r="A57" s="512"/>
      <c r="B57" s="393">
        <f t="shared" si="2"/>
      </c>
      <c r="C57" s="394">
        <f t="shared" si="3"/>
      </c>
      <c r="D57" s="416"/>
      <c r="E57" s="394">
        <f t="shared" si="4"/>
      </c>
      <c r="F57" s="394">
        <f t="shared" si="5"/>
      </c>
      <c r="G57" s="394">
        <f t="shared" si="6"/>
      </c>
      <c r="H57" s="394">
        <f t="shared" si="7"/>
      </c>
      <c r="I57" s="394">
        <f t="shared" si="8"/>
      </c>
      <c r="J57" s="394">
        <f t="shared" si="9"/>
      </c>
      <c r="K57" s="395">
        <f t="shared" si="10"/>
      </c>
      <c r="L57" s="420">
        <f t="shared" si="11"/>
      </c>
      <c r="M57" s="421">
        <f t="shared" si="12"/>
      </c>
      <c r="N57" s="416"/>
      <c r="O57" s="393">
        <f t="shared" si="13"/>
      </c>
      <c r="P57" s="514">
        <f t="shared" si="14"/>
      </c>
      <c r="Q57" s="512"/>
      <c r="R57" s="393">
        <f t="shared" si="15"/>
      </c>
      <c r="S57" s="394">
        <f t="shared" si="16"/>
      </c>
      <c r="T57" s="416"/>
      <c r="U57" s="394">
        <f t="shared" si="17"/>
      </c>
      <c r="V57" s="394">
        <f t="shared" si="18"/>
      </c>
      <c r="W57" s="394">
        <f t="shared" si="19"/>
      </c>
      <c r="X57" s="394">
        <f t="shared" si="20"/>
      </c>
      <c r="Y57" s="394">
        <f t="shared" si="21"/>
      </c>
      <c r="Z57" s="394">
        <f t="shared" si="22"/>
      </c>
      <c r="AA57" s="395">
        <f t="shared" si="23"/>
      </c>
      <c r="AB57" s="420">
        <f t="shared" si="24"/>
      </c>
      <c r="AC57" s="421">
        <f t="shared" si="25"/>
      </c>
      <c r="AD57" s="416"/>
      <c r="AE57" s="393">
        <f t="shared" si="26"/>
      </c>
      <c r="AF57" s="514">
        <f t="shared" si="27"/>
      </c>
      <c r="AG57" s="512"/>
      <c r="AH57" s="393">
        <f t="shared" si="39"/>
      </c>
      <c r="AI57" s="394">
        <f t="shared" si="40"/>
      </c>
      <c r="AJ57" s="416"/>
      <c r="AK57" s="394">
        <f t="shared" si="28"/>
      </c>
      <c r="AL57" s="394">
        <f t="shared" si="29"/>
      </c>
      <c r="AM57" s="394">
        <f t="shared" si="30"/>
      </c>
      <c r="AN57" s="394">
        <f t="shared" si="31"/>
      </c>
      <c r="AO57" s="394">
        <f t="shared" si="32"/>
      </c>
      <c r="AP57" s="394">
        <f t="shared" si="33"/>
      </c>
      <c r="AQ57" s="395">
        <f t="shared" si="34"/>
      </c>
      <c r="AR57" s="420">
        <f t="shared" si="35"/>
      </c>
      <c r="AS57" s="421">
        <f t="shared" si="36"/>
      </c>
      <c r="AT57" s="416"/>
      <c r="AU57" s="393">
        <f t="shared" si="37"/>
      </c>
      <c r="AV57" s="514">
        <f t="shared" si="38"/>
      </c>
    </row>
    <row r="58" spans="1:48" ht="15" customHeight="1">
      <c r="A58" s="512"/>
      <c r="B58" s="393">
        <f t="shared" si="2"/>
      </c>
      <c r="C58" s="394">
        <f t="shared" si="3"/>
      </c>
      <c r="D58" s="416"/>
      <c r="E58" s="394">
        <f t="shared" si="4"/>
      </c>
      <c r="F58" s="394">
        <f t="shared" si="5"/>
      </c>
      <c r="G58" s="394">
        <f t="shared" si="6"/>
      </c>
      <c r="H58" s="394">
        <f t="shared" si="7"/>
      </c>
      <c r="I58" s="394">
        <f t="shared" si="8"/>
      </c>
      <c r="J58" s="394">
        <f t="shared" si="9"/>
      </c>
      <c r="K58" s="395">
        <f t="shared" si="10"/>
      </c>
      <c r="L58" s="420">
        <f t="shared" si="11"/>
      </c>
      <c r="M58" s="421">
        <f t="shared" si="12"/>
      </c>
      <c r="N58" s="416"/>
      <c r="O58" s="393">
        <f t="shared" si="13"/>
      </c>
      <c r="P58" s="514">
        <f t="shared" si="14"/>
      </c>
      <c r="Q58" s="512"/>
      <c r="R58" s="393">
        <f t="shared" si="15"/>
      </c>
      <c r="S58" s="394">
        <f t="shared" si="16"/>
      </c>
      <c r="T58" s="416"/>
      <c r="U58" s="394">
        <f t="shared" si="17"/>
      </c>
      <c r="V58" s="394">
        <f t="shared" si="18"/>
      </c>
      <c r="W58" s="394">
        <f t="shared" si="19"/>
      </c>
      <c r="X58" s="394">
        <f t="shared" si="20"/>
      </c>
      <c r="Y58" s="394">
        <f t="shared" si="21"/>
      </c>
      <c r="Z58" s="394">
        <f t="shared" si="22"/>
      </c>
      <c r="AA58" s="395">
        <f t="shared" si="23"/>
      </c>
      <c r="AB58" s="420">
        <f t="shared" si="24"/>
      </c>
      <c r="AC58" s="421">
        <f t="shared" si="25"/>
      </c>
      <c r="AD58" s="416"/>
      <c r="AE58" s="393">
        <f t="shared" si="26"/>
      </c>
      <c r="AF58" s="514">
        <f t="shared" si="27"/>
      </c>
      <c r="AG58" s="512"/>
      <c r="AH58" s="393">
        <f t="shared" si="39"/>
      </c>
      <c r="AI58" s="394">
        <f t="shared" si="40"/>
      </c>
      <c r="AJ58" s="416"/>
      <c r="AK58" s="394">
        <f t="shared" si="28"/>
      </c>
      <c r="AL58" s="394">
        <f t="shared" si="29"/>
      </c>
      <c r="AM58" s="394">
        <f t="shared" si="30"/>
      </c>
      <c r="AN58" s="394">
        <f t="shared" si="31"/>
      </c>
      <c r="AO58" s="394">
        <f t="shared" si="32"/>
      </c>
      <c r="AP58" s="394">
        <f t="shared" si="33"/>
      </c>
      <c r="AQ58" s="395">
        <f t="shared" si="34"/>
      </c>
      <c r="AR58" s="420">
        <f t="shared" si="35"/>
      </c>
      <c r="AS58" s="421">
        <f t="shared" si="36"/>
      </c>
      <c r="AT58" s="416"/>
      <c r="AU58" s="393">
        <f t="shared" si="37"/>
      </c>
      <c r="AV58" s="514">
        <f t="shared" si="38"/>
      </c>
    </row>
    <row r="59" spans="1:48" ht="15" customHeight="1">
      <c r="A59" s="512"/>
      <c r="B59" s="393">
        <f t="shared" si="2"/>
      </c>
      <c r="C59" s="394">
        <f t="shared" si="3"/>
      </c>
      <c r="D59" s="416"/>
      <c r="E59" s="394">
        <f t="shared" si="4"/>
      </c>
      <c r="F59" s="394">
        <f t="shared" si="5"/>
      </c>
      <c r="G59" s="394">
        <f t="shared" si="6"/>
      </c>
      <c r="H59" s="394">
        <f t="shared" si="7"/>
      </c>
      <c r="I59" s="394">
        <f t="shared" si="8"/>
      </c>
      <c r="J59" s="394">
        <f t="shared" si="9"/>
      </c>
      <c r="K59" s="395">
        <f t="shared" si="10"/>
      </c>
      <c r="L59" s="420">
        <f t="shared" si="11"/>
      </c>
      <c r="M59" s="421">
        <f t="shared" si="12"/>
      </c>
      <c r="N59" s="416"/>
      <c r="O59" s="393">
        <f t="shared" si="13"/>
      </c>
      <c r="P59" s="514">
        <f t="shared" si="14"/>
      </c>
      <c r="Q59" s="512"/>
      <c r="R59" s="393">
        <f t="shared" si="15"/>
      </c>
      <c r="S59" s="394">
        <f t="shared" si="16"/>
      </c>
      <c r="T59" s="416"/>
      <c r="U59" s="394">
        <f t="shared" si="17"/>
      </c>
      <c r="V59" s="394">
        <f t="shared" si="18"/>
      </c>
      <c r="W59" s="394">
        <f t="shared" si="19"/>
      </c>
      <c r="X59" s="394">
        <f t="shared" si="20"/>
      </c>
      <c r="Y59" s="394">
        <f t="shared" si="21"/>
      </c>
      <c r="Z59" s="394">
        <f t="shared" si="22"/>
      </c>
      <c r="AA59" s="395">
        <f t="shared" si="23"/>
      </c>
      <c r="AB59" s="420">
        <f t="shared" si="24"/>
      </c>
      <c r="AC59" s="421">
        <f t="shared" si="25"/>
      </c>
      <c r="AD59" s="416"/>
      <c r="AE59" s="393">
        <f t="shared" si="26"/>
      </c>
      <c r="AF59" s="514">
        <f t="shared" si="27"/>
      </c>
      <c r="AG59" s="512"/>
      <c r="AH59" s="393">
        <f t="shared" si="39"/>
      </c>
      <c r="AI59" s="394">
        <f t="shared" si="40"/>
      </c>
      <c r="AJ59" s="416"/>
      <c r="AK59" s="394">
        <f t="shared" si="28"/>
      </c>
      <c r="AL59" s="394">
        <f t="shared" si="29"/>
      </c>
      <c r="AM59" s="394">
        <f t="shared" si="30"/>
      </c>
      <c r="AN59" s="394">
        <f t="shared" si="31"/>
      </c>
      <c r="AO59" s="394">
        <f t="shared" si="32"/>
      </c>
      <c r="AP59" s="394">
        <f t="shared" si="33"/>
      </c>
      <c r="AQ59" s="395">
        <f t="shared" si="34"/>
      </c>
      <c r="AR59" s="420">
        <f t="shared" si="35"/>
      </c>
      <c r="AS59" s="421">
        <f t="shared" si="36"/>
      </c>
      <c r="AT59" s="416"/>
      <c r="AU59" s="393">
        <f t="shared" si="37"/>
      </c>
      <c r="AV59" s="514">
        <f t="shared" si="38"/>
      </c>
    </row>
    <row r="60" spans="1:48" ht="15" customHeight="1">
      <c r="A60" s="512"/>
      <c r="B60" s="393">
        <f t="shared" si="2"/>
      </c>
      <c r="C60" s="394">
        <f t="shared" si="3"/>
      </c>
      <c r="D60" s="416"/>
      <c r="E60" s="394">
        <f t="shared" si="4"/>
      </c>
      <c r="F60" s="394">
        <f t="shared" si="5"/>
      </c>
      <c r="G60" s="394">
        <f t="shared" si="6"/>
      </c>
      <c r="H60" s="394">
        <f t="shared" si="7"/>
      </c>
      <c r="I60" s="394">
        <f t="shared" si="8"/>
      </c>
      <c r="J60" s="394">
        <f t="shared" si="9"/>
      </c>
      <c r="K60" s="395">
        <f t="shared" si="10"/>
      </c>
      <c r="L60" s="420">
        <f t="shared" si="11"/>
      </c>
      <c r="M60" s="421">
        <f t="shared" si="12"/>
      </c>
      <c r="N60" s="416"/>
      <c r="O60" s="393">
        <f t="shared" si="13"/>
      </c>
      <c r="P60" s="514">
        <f t="shared" si="14"/>
      </c>
      <c r="Q60" s="512"/>
      <c r="R60" s="393">
        <f t="shared" si="15"/>
      </c>
      <c r="S60" s="394">
        <f t="shared" si="16"/>
      </c>
      <c r="T60" s="416"/>
      <c r="U60" s="394">
        <f t="shared" si="17"/>
      </c>
      <c r="V60" s="394">
        <f t="shared" si="18"/>
      </c>
      <c r="W60" s="394">
        <f t="shared" si="19"/>
      </c>
      <c r="X60" s="394">
        <f t="shared" si="20"/>
      </c>
      <c r="Y60" s="394">
        <f t="shared" si="21"/>
      </c>
      <c r="Z60" s="394">
        <f t="shared" si="22"/>
      </c>
      <c r="AA60" s="395">
        <f t="shared" si="23"/>
      </c>
      <c r="AB60" s="420">
        <f t="shared" si="24"/>
      </c>
      <c r="AC60" s="421">
        <f t="shared" si="25"/>
      </c>
      <c r="AD60" s="416"/>
      <c r="AE60" s="393">
        <f t="shared" si="26"/>
      </c>
      <c r="AF60" s="514">
        <f t="shared" si="27"/>
      </c>
      <c r="AG60" s="512"/>
      <c r="AH60" s="393">
        <f t="shared" si="39"/>
      </c>
      <c r="AI60" s="394">
        <f t="shared" si="40"/>
      </c>
      <c r="AJ60" s="416"/>
      <c r="AK60" s="394">
        <f t="shared" si="28"/>
      </c>
      <c r="AL60" s="394">
        <f t="shared" si="29"/>
      </c>
      <c r="AM60" s="394">
        <f t="shared" si="30"/>
      </c>
      <c r="AN60" s="394">
        <f t="shared" si="31"/>
      </c>
      <c r="AO60" s="394">
        <f t="shared" si="32"/>
      </c>
      <c r="AP60" s="394">
        <f t="shared" si="33"/>
      </c>
      <c r="AQ60" s="395">
        <f t="shared" si="34"/>
      </c>
      <c r="AR60" s="420">
        <f t="shared" si="35"/>
      </c>
      <c r="AS60" s="421">
        <f t="shared" si="36"/>
      </c>
      <c r="AT60" s="416"/>
      <c r="AU60" s="393">
        <f t="shared" si="37"/>
      </c>
      <c r="AV60" s="514">
        <f t="shared" si="38"/>
      </c>
    </row>
    <row r="61" spans="1:48" ht="15" customHeight="1">
      <c r="A61" s="512"/>
      <c r="B61" s="393">
        <f t="shared" si="2"/>
      </c>
      <c r="C61" s="394">
        <f t="shared" si="3"/>
      </c>
      <c r="D61" s="416"/>
      <c r="E61" s="394">
        <f t="shared" si="4"/>
      </c>
      <c r="F61" s="394">
        <f t="shared" si="5"/>
      </c>
      <c r="G61" s="394">
        <f t="shared" si="6"/>
      </c>
      <c r="H61" s="394">
        <f t="shared" si="7"/>
      </c>
      <c r="I61" s="394">
        <f t="shared" si="8"/>
      </c>
      <c r="J61" s="394">
        <f t="shared" si="9"/>
      </c>
      <c r="K61" s="395">
        <f t="shared" si="10"/>
      </c>
      <c r="L61" s="420">
        <f t="shared" si="11"/>
      </c>
      <c r="M61" s="421">
        <f t="shared" si="12"/>
      </c>
      <c r="N61" s="416"/>
      <c r="O61" s="393">
        <f t="shared" si="13"/>
      </c>
      <c r="P61" s="514">
        <f t="shared" si="14"/>
      </c>
      <c r="Q61" s="512"/>
      <c r="R61" s="393">
        <f t="shared" si="15"/>
      </c>
      <c r="S61" s="394">
        <f t="shared" si="16"/>
      </c>
      <c r="T61" s="416"/>
      <c r="U61" s="394">
        <f t="shared" si="17"/>
      </c>
      <c r="V61" s="394">
        <f t="shared" si="18"/>
      </c>
      <c r="W61" s="394">
        <f t="shared" si="19"/>
      </c>
      <c r="X61" s="394">
        <f t="shared" si="20"/>
      </c>
      <c r="Y61" s="394">
        <f t="shared" si="21"/>
      </c>
      <c r="Z61" s="394">
        <f t="shared" si="22"/>
      </c>
      <c r="AA61" s="395">
        <f t="shared" si="23"/>
      </c>
      <c r="AB61" s="420">
        <f t="shared" si="24"/>
      </c>
      <c r="AC61" s="421">
        <f t="shared" si="25"/>
      </c>
      <c r="AD61" s="416"/>
      <c r="AE61" s="393">
        <f t="shared" si="26"/>
      </c>
      <c r="AF61" s="514">
        <f t="shared" si="27"/>
      </c>
      <c r="AG61" s="512"/>
      <c r="AH61" s="393">
        <f t="shared" si="39"/>
      </c>
      <c r="AI61" s="394">
        <f t="shared" si="40"/>
      </c>
      <c r="AJ61" s="416"/>
      <c r="AK61" s="394">
        <f t="shared" si="28"/>
      </c>
      <c r="AL61" s="394">
        <f t="shared" si="29"/>
      </c>
      <c r="AM61" s="394">
        <f t="shared" si="30"/>
      </c>
      <c r="AN61" s="394">
        <f t="shared" si="31"/>
      </c>
      <c r="AO61" s="394">
        <f t="shared" si="32"/>
      </c>
      <c r="AP61" s="394">
        <f t="shared" si="33"/>
      </c>
      <c r="AQ61" s="395">
        <f t="shared" si="34"/>
      </c>
      <c r="AR61" s="420">
        <f t="shared" si="35"/>
      </c>
      <c r="AS61" s="421">
        <f t="shared" si="36"/>
      </c>
      <c r="AT61" s="416"/>
      <c r="AU61" s="393">
        <f t="shared" si="37"/>
      </c>
      <c r="AV61" s="514">
        <f t="shared" si="38"/>
      </c>
    </row>
    <row r="62" spans="1:48" ht="15" customHeight="1">
      <c r="A62" s="512"/>
      <c r="B62" s="393">
        <f t="shared" si="2"/>
      </c>
      <c r="C62" s="394">
        <f t="shared" si="3"/>
      </c>
      <c r="D62" s="416"/>
      <c r="E62" s="394">
        <f t="shared" si="4"/>
      </c>
      <c r="F62" s="394">
        <f t="shared" si="5"/>
      </c>
      <c r="G62" s="394">
        <f t="shared" si="6"/>
      </c>
      <c r="H62" s="394">
        <f t="shared" si="7"/>
      </c>
      <c r="I62" s="394">
        <f t="shared" si="8"/>
      </c>
      <c r="J62" s="394">
        <f t="shared" si="9"/>
      </c>
      <c r="K62" s="395">
        <f t="shared" si="10"/>
      </c>
      <c r="L62" s="420">
        <f t="shared" si="11"/>
      </c>
      <c r="M62" s="421">
        <f t="shared" si="12"/>
      </c>
      <c r="N62" s="416"/>
      <c r="O62" s="393">
        <f t="shared" si="13"/>
      </c>
      <c r="P62" s="514">
        <f t="shared" si="14"/>
      </c>
      <c r="Q62" s="512"/>
      <c r="R62" s="393">
        <f t="shared" si="15"/>
      </c>
      <c r="S62" s="394">
        <f t="shared" si="16"/>
      </c>
      <c r="T62" s="416"/>
      <c r="U62" s="394">
        <f t="shared" si="17"/>
      </c>
      <c r="V62" s="394">
        <f t="shared" si="18"/>
      </c>
      <c r="W62" s="394">
        <f t="shared" si="19"/>
      </c>
      <c r="X62" s="394">
        <f t="shared" si="20"/>
      </c>
      <c r="Y62" s="394">
        <f t="shared" si="21"/>
      </c>
      <c r="Z62" s="394">
        <f t="shared" si="22"/>
      </c>
      <c r="AA62" s="395">
        <f t="shared" si="23"/>
      </c>
      <c r="AB62" s="420">
        <f t="shared" si="24"/>
      </c>
      <c r="AC62" s="421">
        <f t="shared" si="25"/>
      </c>
      <c r="AD62" s="416"/>
      <c r="AE62" s="393">
        <f t="shared" si="26"/>
      </c>
      <c r="AF62" s="514">
        <f t="shared" si="27"/>
      </c>
      <c r="AG62" s="512"/>
      <c r="AH62" s="393">
        <f t="shared" si="39"/>
      </c>
      <c r="AI62" s="394">
        <f t="shared" si="40"/>
      </c>
      <c r="AJ62" s="416"/>
      <c r="AK62" s="394">
        <f t="shared" si="28"/>
      </c>
      <c r="AL62" s="394">
        <f t="shared" si="29"/>
      </c>
      <c r="AM62" s="394">
        <f t="shared" si="30"/>
      </c>
      <c r="AN62" s="394">
        <f t="shared" si="31"/>
      </c>
      <c r="AO62" s="394">
        <f t="shared" si="32"/>
      </c>
      <c r="AP62" s="394">
        <f t="shared" si="33"/>
      </c>
      <c r="AQ62" s="395">
        <f t="shared" si="34"/>
      </c>
      <c r="AR62" s="420">
        <f t="shared" si="35"/>
      </c>
      <c r="AS62" s="421">
        <f t="shared" si="36"/>
      </c>
      <c r="AT62" s="416"/>
      <c r="AU62" s="393">
        <f t="shared" si="37"/>
      </c>
      <c r="AV62" s="514">
        <f t="shared" si="38"/>
      </c>
    </row>
    <row r="63" spans="1:48" ht="15" customHeight="1">
      <c r="A63" s="512"/>
      <c r="B63" s="393">
        <f t="shared" si="2"/>
      </c>
      <c r="C63" s="394">
        <f t="shared" si="3"/>
      </c>
      <c r="D63" s="416"/>
      <c r="E63" s="394">
        <f t="shared" si="4"/>
      </c>
      <c r="F63" s="394">
        <f t="shared" si="5"/>
      </c>
      <c r="G63" s="394">
        <f t="shared" si="6"/>
      </c>
      <c r="H63" s="394">
        <f t="shared" si="7"/>
      </c>
      <c r="I63" s="394">
        <f t="shared" si="8"/>
      </c>
      <c r="J63" s="394">
        <f t="shared" si="9"/>
      </c>
      <c r="K63" s="395">
        <f t="shared" si="10"/>
      </c>
      <c r="L63" s="420">
        <f t="shared" si="11"/>
      </c>
      <c r="M63" s="421">
        <f t="shared" si="12"/>
      </c>
      <c r="N63" s="416"/>
      <c r="O63" s="393">
        <f t="shared" si="13"/>
      </c>
      <c r="P63" s="514">
        <f t="shared" si="14"/>
      </c>
      <c r="Q63" s="512"/>
      <c r="R63" s="393">
        <f t="shared" si="15"/>
      </c>
      <c r="S63" s="394">
        <f t="shared" si="16"/>
      </c>
      <c r="T63" s="416"/>
      <c r="U63" s="394">
        <f t="shared" si="17"/>
      </c>
      <c r="V63" s="394">
        <f t="shared" si="18"/>
      </c>
      <c r="W63" s="394">
        <f t="shared" si="19"/>
      </c>
      <c r="X63" s="394">
        <f t="shared" si="20"/>
      </c>
      <c r="Y63" s="394">
        <f t="shared" si="21"/>
      </c>
      <c r="Z63" s="394">
        <f t="shared" si="22"/>
      </c>
      <c r="AA63" s="395">
        <f t="shared" si="23"/>
      </c>
      <c r="AB63" s="420">
        <f t="shared" si="24"/>
      </c>
      <c r="AC63" s="421">
        <f t="shared" si="25"/>
      </c>
      <c r="AD63" s="416"/>
      <c r="AE63" s="393">
        <f t="shared" si="26"/>
      </c>
      <c r="AF63" s="514">
        <f t="shared" si="27"/>
      </c>
      <c r="AG63" s="512"/>
      <c r="AH63" s="393">
        <f t="shared" si="39"/>
      </c>
      <c r="AI63" s="394">
        <f t="shared" si="40"/>
      </c>
      <c r="AJ63" s="416"/>
      <c r="AK63" s="394">
        <f t="shared" si="28"/>
      </c>
      <c r="AL63" s="394">
        <f t="shared" si="29"/>
      </c>
      <c r="AM63" s="394">
        <f t="shared" si="30"/>
      </c>
      <c r="AN63" s="394">
        <f t="shared" si="31"/>
      </c>
      <c r="AO63" s="394">
        <f t="shared" si="32"/>
      </c>
      <c r="AP63" s="394">
        <f t="shared" si="33"/>
      </c>
      <c r="AQ63" s="395">
        <f t="shared" si="34"/>
      </c>
      <c r="AR63" s="420">
        <f t="shared" si="35"/>
      </c>
      <c r="AS63" s="421">
        <f t="shared" si="36"/>
      </c>
      <c r="AT63" s="416"/>
      <c r="AU63" s="393">
        <f t="shared" si="37"/>
      </c>
      <c r="AV63" s="514">
        <f t="shared" si="38"/>
      </c>
    </row>
    <row r="64" spans="1:48" ht="15" customHeight="1">
      <c r="A64" s="512"/>
      <c r="B64" s="393">
        <f t="shared" si="2"/>
      </c>
      <c r="C64" s="394">
        <f t="shared" si="3"/>
      </c>
      <c r="D64" s="416"/>
      <c r="E64" s="394">
        <f t="shared" si="4"/>
      </c>
      <c r="F64" s="394">
        <f t="shared" si="5"/>
      </c>
      <c r="G64" s="394">
        <f t="shared" si="6"/>
      </c>
      <c r="H64" s="394">
        <f t="shared" si="7"/>
      </c>
      <c r="I64" s="394">
        <f t="shared" si="8"/>
      </c>
      <c r="J64" s="394">
        <f t="shared" si="9"/>
      </c>
      <c r="K64" s="395">
        <f t="shared" si="10"/>
      </c>
      <c r="L64" s="420">
        <f t="shared" si="11"/>
      </c>
      <c r="M64" s="421">
        <f t="shared" si="12"/>
      </c>
      <c r="N64" s="416"/>
      <c r="O64" s="393">
        <f t="shared" si="13"/>
      </c>
      <c r="P64" s="514">
        <f t="shared" si="14"/>
      </c>
      <c r="Q64" s="512"/>
      <c r="R64" s="393">
        <f t="shared" si="15"/>
      </c>
      <c r="S64" s="394">
        <f t="shared" si="16"/>
      </c>
      <c r="T64" s="416"/>
      <c r="U64" s="394">
        <f t="shared" si="17"/>
      </c>
      <c r="V64" s="394">
        <f t="shared" si="18"/>
      </c>
      <c r="W64" s="394">
        <f t="shared" si="19"/>
      </c>
      <c r="X64" s="394">
        <f t="shared" si="20"/>
      </c>
      <c r="Y64" s="394">
        <f t="shared" si="21"/>
      </c>
      <c r="Z64" s="394">
        <f t="shared" si="22"/>
      </c>
      <c r="AA64" s="395">
        <f t="shared" si="23"/>
      </c>
      <c r="AB64" s="420">
        <f t="shared" si="24"/>
      </c>
      <c r="AC64" s="421">
        <f t="shared" si="25"/>
      </c>
      <c r="AD64" s="416"/>
      <c r="AE64" s="393">
        <f t="shared" si="26"/>
      </c>
      <c r="AF64" s="514">
        <f t="shared" si="27"/>
      </c>
      <c r="AG64" s="512"/>
      <c r="AH64" s="393">
        <f t="shared" si="39"/>
      </c>
      <c r="AI64" s="394">
        <f t="shared" si="40"/>
      </c>
      <c r="AJ64" s="416"/>
      <c r="AK64" s="394">
        <f t="shared" si="28"/>
      </c>
      <c r="AL64" s="394">
        <f t="shared" si="29"/>
      </c>
      <c r="AM64" s="394">
        <f t="shared" si="30"/>
      </c>
      <c r="AN64" s="394">
        <f t="shared" si="31"/>
      </c>
      <c r="AO64" s="394">
        <f t="shared" si="32"/>
      </c>
      <c r="AP64" s="394">
        <f t="shared" si="33"/>
      </c>
      <c r="AQ64" s="395">
        <f t="shared" si="34"/>
      </c>
      <c r="AR64" s="420">
        <f t="shared" si="35"/>
      </c>
      <c r="AS64" s="421">
        <f t="shared" si="36"/>
      </c>
      <c r="AT64" s="416"/>
      <c r="AU64" s="393">
        <f t="shared" si="37"/>
      </c>
      <c r="AV64" s="514">
        <f t="shared" si="38"/>
      </c>
    </row>
    <row r="65" spans="1:48" ht="15" customHeight="1">
      <c r="A65" s="512"/>
      <c r="B65" s="393">
        <f t="shared" si="2"/>
      </c>
      <c r="C65" s="394">
        <f t="shared" si="3"/>
      </c>
      <c r="D65" s="416"/>
      <c r="E65" s="394">
        <f t="shared" si="4"/>
      </c>
      <c r="F65" s="394">
        <f t="shared" si="5"/>
      </c>
      <c r="G65" s="394">
        <f t="shared" si="6"/>
      </c>
      <c r="H65" s="394">
        <f t="shared" si="7"/>
      </c>
      <c r="I65" s="394">
        <f t="shared" si="8"/>
      </c>
      <c r="J65" s="394">
        <f t="shared" si="9"/>
      </c>
      <c r="K65" s="395">
        <f t="shared" si="10"/>
      </c>
      <c r="L65" s="420">
        <f t="shared" si="11"/>
      </c>
      <c r="M65" s="421">
        <f t="shared" si="12"/>
      </c>
      <c r="N65" s="416"/>
      <c r="O65" s="393">
        <f t="shared" si="13"/>
      </c>
      <c r="P65" s="514">
        <f t="shared" si="14"/>
      </c>
      <c r="Q65" s="512"/>
      <c r="R65" s="393">
        <f t="shared" si="15"/>
      </c>
      <c r="S65" s="394">
        <f t="shared" si="16"/>
      </c>
      <c r="T65" s="416"/>
      <c r="U65" s="394">
        <f t="shared" si="17"/>
      </c>
      <c r="V65" s="394">
        <f t="shared" si="18"/>
      </c>
      <c r="W65" s="394">
        <f t="shared" si="19"/>
      </c>
      <c r="X65" s="394">
        <f t="shared" si="20"/>
      </c>
      <c r="Y65" s="394">
        <f t="shared" si="21"/>
      </c>
      <c r="Z65" s="394">
        <f t="shared" si="22"/>
      </c>
      <c r="AA65" s="395">
        <f t="shared" si="23"/>
      </c>
      <c r="AB65" s="420">
        <f t="shared" si="24"/>
      </c>
      <c r="AC65" s="421">
        <f t="shared" si="25"/>
      </c>
      <c r="AD65" s="416"/>
      <c r="AE65" s="393">
        <f t="shared" si="26"/>
      </c>
      <c r="AF65" s="514">
        <f t="shared" si="27"/>
      </c>
      <c r="AG65" s="512"/>
      <c r="AH65" s="393">
        <f t="shared" si="39"/>
      </c>
      <c r="AI65" s="394">
        <f t="shared" si="40"/>
      </c>
      <c r="AJ65" s="416"/>
      <c r="AK65" s="394">
        <f t="shared" si="28"/>
      </c>
      <c r="AL65" s="394">
        <f t="shared" si="29"/>
      </c>
      <c r="AM65" s="394">
        <f t="shared" si="30"/>
      </c>
      <c r="AN65" s="394">
        <f t="shared" si="31"/>
      </c>
      <c r="AO65" s="394">
        <f t="shared" si="32"/>
      </c>
      <c r="AP65" s="394">
        <f t="shared" si="33"/>
      </c>
      <c r="AQ65" s="395">
        <f t="shared" si="34"/>
      </c>
      <c r="AR65" s="420">
        <f t="shared" si="35"/>
      </c>
      <c r="AS65" s="421">
        <f t="shared" si="36"/>
      </c>
      <c r="AT65" s="416"/>
      <c r="AU65" s="393">
        <f t="shared" si="37"/>
      </c>
      <c r="AV65" s="514">
        <f t="shared" si="38"/>
      </c>
    </row>
    <row r="66" spans="1:48" ht="15" customHeight="1">
      <c r="A66" s="512"/>
      <c r="B66" s="393">
        <f t="shared" si="2"/>
      </c>
      <c r="C66" s="394">
        <f t="shared" si="3"/>
      </c>
      <c r="D66" s="416"/>
      <c r="E66" s="394">
        <f t="shared" si="4"/>
      </c>
      <c r="F66" s="394">
        <f t="shared" si="5"/>
      </c>
      <c r="G66" s="394">
        <f t="shared" si="6"/>
      </c>
      <c r="H66" s="394">
        <f t="shared" si="7"/>
      </c>
      <c r="I66" s="394">
        <f t="shared" si="8"/>
      </c>
      <c r="J66" s="394">
        <f t="shared" si="9"/>
      </c>
      <c r="K66" s="395">
        <f t="shared" si="10"/>
      </c>
      <c r="L66" s="420">
        <f t="shared" si="11"/>
      </c>
      <c r="M66" s="421">
        <f t="shared" si="12"/>
      </c>
      <c r="N66" s="416"/>
      <c r="O66" s="393">
        <f t="shared" si="13"/>
      </c>
      <c r="P66" s="514">
        <f t="shared" si="14"/>
      </c>
      <c r="Q66" s="512"/>
      <c r="R66" s="393">
        <f t="shared" si="15"/>
      </c>
      <c r="S66" s="394">
        <f t="shared" si="16"/>
      </c>
      <c r="T66" s="416"/>
      <c r="U66" s="394">
        <f t="shared" si="17"/>
      </c>
      <c r="V66" s="394">
        <f t="shared" si="18"/>
      </c>
      <c r="W66" s="394">
        <f t="shared" si="19"/>
      </c>
      <c r="X66" s="394">
        <f t="shared" si="20"/>
      </c>
      <c r="Y66" s="394">
        <f t="shared" si="21"/>
      </c>
      <c r="Z66" s="394">
        <f t="shared" si="22"/>
      </c>
      <c r="AA66" s="395">
        <f t="shared" si="23"/>
      </c>
      <c r="AB66" s="420">
        <f t="shared" si="24"/>
      </c>
      <c r="AC66" s="421">
        <f t="shared" si="25"/>
      </c>
      <c r="AD66" s="416"/>
      <c r="AE66" s="393">
        <f t="shared" si="26"/>
      </c>
      <c r="AF66" s="514">
        <f t="shared" si="27"/>
      </c>
      <c r="AG66" s="512"/>
      <c r="AH66" s="393">
        <f t="shared" si="39"/>
      </c>
      <c r="AI66" s="394">
        <f t="shared" si="40"/>
      </c>
      <c r="AJ66" s="416"/>
      <c r="AK66" s="394">
        <f t="shared" si="28"/>
      </c>
      <c r="AL66" s="394">
        <f t="shared" si="29"/>
      </c>
      <c r="AM66" s="394">
        <f t="shared" si="30"/>
      </c>
      <c r="AN66" s="394">
        <f t="shared" si="31"/>
      </c>
      <c r="AO66" s="394">
        <f t="shared" si="32"/>
      </c>
      <c r="AP66" s="394">
        <f t="shared" si="33"/>
      </c>
      <c r="AQ66" s="395">
        <f t="shared" si="34"/>
      </c>
      <c r="AR66" s="420">
        <f t="shared" si="35"/>
      </c>
      <c r="AS66" s="421">
        <f t="shared" si="36"/>
      </c>
      <c r="AT66" s="416"/>
      <c r="AU66" s="393">
        <f t="shared" si="37"/>
      </c>
      <c r="AV66" s="514">
        <f t="shared" si="38"/>
      </c>
    </row>
    <row r="67" spans="1:48" ht="15" customHeight="1">
      <c r="A67" s="512"/>
      <c r="B67" s="393">
        <f t="shared" si="2"/>
      </c>
      <c r="C67" s="394">
        <f t="shared" si="3"/>
      </c>
      <c r="D67" s="416"/>
      <c r="E67" s="394">
        <f t="shared" si="4"/>
      </c>
      <c r="F67" s="394">
        <f t="shared" si="5"/>
      </c>
      <c r="G67" s="394">
        <f t="shared" si="6"/>
      </c>
      <c r="H67" s="394">
        <f t="shared" si="7"/>
      </c>
      <c r="I67" s="394">
        <f t="shared" si="8"/>
      </c>
      <c r="J67" s="394">
        <f t="shared" si="9"/>
      </c>
      <c r="K67" s="395">
        <f t="shared" si="10"/>
      </c>
      <c r="L67" s="420">
        <f t="shared" si="11"/>
      </c>
      <c r="M67" s="421">
        <f t="shared" si="12"/>
      </c>
      <c r="N67" s="416"/>
      <c r="O67" s="393">
        <f t="shared" si="13"/>
      </c>
      <c r="P67" s="514">
        <f t="shared" si="14"/>
      </c>
      <c r="Q67" s="512"/>
      <c r="R67" s="393">
        <f t="shared" si="15"/>
      </c>
      <c r="S67" s="394">
        <f t="shared" si="16"/>
      </c>
      <c r="T67" s="416"/>
      <c r="U67" s="394">
        <f t="shared" si="17"/>
      </c>
      <c r="V67" s="394">
        <f t="shared" si="18"/>
      </c>
      <c r="W67" s="394">
        <f t="shared" si="19"/>
      </c>
      <c r="X67" s="394">
        <f t="shared" si="20"/>
      </c>
      <c r="Y67" s="394">
        <f t="shared" si="21"/>
      </c>
      <c r="Z67" s="394">
        <f t="shared" si="22"/>
      </c>
      <c r="AA67" s="395">
        <f t="shared" si="23"/>
      </c>
      <c r="AB67" s="420">
        <f t="shared" si="24"/>
      </c>
      <c r="AC67" s="421">
        <f t="shared" si="25"/>
      </c>
      <c r="AD67" s="416"/>
      <c r="AE67" s="393">
        <f t="shared" si="26"/>
      </c>
      <c r="AF67" s="514">
        <f t="shared" si="27"/>
      </c>
      <c r="AG67" s="512"/>
      <c r="AH67" s="393">
        <f t="shared" si="39"/>
      </c>
      <c r="AI67" s="394">
        <f t="shared" si="40"/>
      </c>
      <c r="AJ67" s="416"/>
      <c r="AK67" s="394">
        <f t="shared" si="28"/>
      </c>
      <c r="AL67" s="394">
        <f t="shared" si="29"/>
      </c>
      <c r="AM67" s="394">
        <f t="shared" si="30"/>
      </c>
      <c r="AN67" s="394">
        <f t="shared" si="31"/>
      </c>
      <c r="AO67" s="394">
        <f t="shared" si="32"/>
      </c>
      <c r="AP67" s="394">
        <f t="shared" si="33"/>
      </c>
      <c r="AQ67" s="395">
        <f t="shared" si="34"/>
      </c>
      <c r="AR67" s="420">
        <f t="shared" si="35"/>
      </c>
      <c r="AS67" s="421">
        <f t="shared" si="36"/>
      </c>
      <c r="AT67" s="416"/>
      <c r="AU67" s="393">
        <f t="shared" si="37"/>
      </c>
      <c r="AV67" s="514">
        <f t="shared" si="38"/>
      </c>
    </row>
    <row r="68" spans="1:48" ht="15" customHeight="1">
      <c r="A68" s="512"/>
      <c r="B68" s="393">
        <f t="shared" si="2"/>
      </c>
      <c r="C68" s="394">
        <f t="shared" si="3"/>
      </c>
      <c r="D68" s="416"/>
      <c r="E68" s="394">
        <f t="shared" si="4"/>
      </c>
      <c r="F68" s="394">
        <f t="shared" si="5"/>
      </c>
      <c r="G68" s="394">
        <f t="shared" si="6"/>
      </c>
      <c r="H68" s="394">
        <f t="shared" si="7"/>
      </c>
      <c r="I68" s="394">
        <f t="shared" si="8"/>
      </c>
      <c r="J68" s="394">
        <f t="shared" si="9"/>
      </c>
      <c r="K68" s="395">
        <f t="shared" si="10"/>
      </c>
      <c r="L68" s="420">
        <f t="shared" si="11"/>
      </c>
      <c r="M68" s="421">
        <f t="shared" si="12"/>
      </c>
      <c r="N68" s="416"/>
      <c r="O68" s="393">
        <f t="shared" si="13"/>
      </c>
      <c r="P68" s="514">
        <f t="shared" si="14"/>
      </c>
      <c r="Q68" s="512"/>
      <c r="R68" s="393">
        <f t="shared" si="15"/>
      </c>
      <c r="S68" s="394">
        <f t="shared" si="16"/>
      </c>
      <c r="T68" s="416"/>
      <c r="U68" s="394">
        <f t="shared" si="17"/>
      </c>
      <c r="V68" s="394">
        <f t="shared" si="18"/>
      </c>
      <c r="W68" s="394">
        <f t="shared" si="19"/>
      </c>
      <c r="X68" s="394">
        <f t="shared" si="20"/>
      </c>
      <c r="Y68" s="394">
        <f t="shared" si="21"/>
      </c>
      <c r="Z68" s="394">
        <f t="shared" si="22"/>
      </c>
      <c r="AA68" s="395">
        <f t="shared" si="23"/>
      </c>
      <c r="AB68" s="420">
        <f t="shared" si="24"/>
      </c>
      <c r="AC68" s="421">
        <f t="shared" si="25"/>
      </c>
      <c r="AD68" s="416"/>
      <c r="AE68" s="393">
        <f t="shared" si="26"/>
      </c>
      <c r="AF68" s="514">
        <f t="shared" si="27"/>
      </c>
      <c r="AG68" s="512"/>
      <c r="AH68" s="393">
        <f t="shared" si="39"/>
      </c>
      <c r="AI68" s="394">
        <f t="shared" si="40"/>
      </c>
      <c r="AJ68" s="416"/>
      <c r="AK68" s="394">
        <f t="shared" si="28"/>
      </c>
      <c r="AL68" s="394">
        <f t="shared" si="29"/>
      </c>
      <c r="AM68" s="394">
        <f t="shared" si="30"/>
      </c>
      <c r="AN68" s="394">
        <f t="shared" si="31"/>
      </c>
      <c r="AO68" s="394">
        <f t="shared" si="32"/>
      </c>
      <c r="AP68" s="394">
        <f t="shared" si="33"/>
      </c>
      <c r="AQ68" s="395">
        <f t="shared" si="34"/>
      </c>
      <c r="AR68" s="420">
        <f t="shared" si="35"/>
      </c>
      <c r="AS68" s="421">
        <f t="shared" si="36"/>
      </c>
      <c r="AT68" s="416"/>
      <c r="AU68" s="393">
        <f t="shared" si="37"/>
      </c>
      <c r="AV68" s="514">
        <f t="shared" si="38"/>
      </c>
    </row>
    <row r="69" spans="1:48" ht="15" customHeight="1">
      <c r="A69" s="512"/>
      <c r="B69" s="393">
        <f t="shared" si="2"/>
      </c>
      <c r="C69" s="394">
        <f t="shared" si="3"/>
      </c>
      <c r="D69" s="416"/>
      <c r="E69" s="394">
        <f t="shared" si="4"/>
      </c>
      <c r="F69" s="394">
        <f t="shared" si="5"/>
      </c>
      <c r="G69" s="394">
        <f t="shared" si="6"/>
      </c>
      <c r="H69" s="394">
        <f t="shared" si="7"/>
      </c>
      <c r="I69" s="394">
        <f t="shared" si="8"/>
      </c>
      <c r="J69" s="394">
        <f t="shared" si="9"/>
      </c>
      <c r="K69" s="395">
        <f t="shared" si="10"/>
      </c>
      <c r="L69" s="420">
        <f t="shared" si="11"/>
      </c>
      <c r="M69" s="421">
        <f t="shared" si="12"/>
      </c>
      <c r="N69" s="416"/>
      <c r="O69" s="393">
        <f t="shared" si="13"/>
      </c>
      <c r="P69" s="514">
        <f t="shared" si="14"/>
      </c>
      <c r="Q69" s="512"/>
      <c r="R69" s="393">
        <f t="shared" si="15"/>
      </c>
      <c r="S69" s="394">
        <f t="shared" si="16"/>
      </c>
      <c r="T69" s="416"/>
      <c r="U69" s="394">
        <f t="shared" si="17"/>
      </c>
      <c r="V69" s="394">
        <f t="shared" si="18"/>
      </c>
      <c r="W69" s="394">
        <f t="shared" si="19"/>
      </c>
      <c r="X69" s="394">
        <f t="shared" si="20"/>
      </c>
      <c r="Y69" s="394">
        <f t="shared" si="21"/>
      </c>
      <c r="Z69" s="394">
        <f t="shared" si="22"/>
      </c>
      <c r="AA69" s="395">
        <f t="shared" si="23"/>
      </c>
      <c r="AB69" s="420">
        <f t="shared" si="24"/>
      </c>
      <c r="AC69" s="421">
        <f t="shared" si="25"/>
      </c>
      <c r="AD69" s="416"/>
      <c r="AE69" s="393">
        <f t="shared" si="26"/>
      </c>
      <c r="AF69" s="514">
        <f t="shared" si="27"/>
      </c>
      <c r="AG69" s="512"/>
      <c r="AH69" s="393">
        <f t="shared" si="39"/>
      </c>
      <c r="AI69" s="394">
        <f t="shared" si="40"/>
      </c>
      <c r="AJ69" s="416"/>
      <c r="AK69" s="394">
        <f t="shared" si="28"/>
      </c>
      <c r="AL69" s="394">
        <f t="shared" si="29"/>
      </c>
      <c r="AM69" s="394">
        <f t="shared" si="30"/>
      </c>
      <c r="AN69" s="394">
        <f t="shared" si="31"/>
      </c>
      <c r="AO69" s="394">
        <f t="shared" si="32"/>
      </c>
      <c r="AP69" s="394">
        <f t="shared" si="33"/>
      </c>
      <c r="AQ69" s="395">
        <f t="shared" si="34"/>
      </c>
      <c r="AR69" s="420">
        <f t="shared" si="35"/>
      </c>
      <c r="AS69" s="421">
        <f t="shared" si="36"/>
      </c>
      <c r="AT69" s="416"/>
      <c r="AU69" s="393">
        <f t="shared" si="37"/>
      </c>
      <c r="AV69" s="514">
        <f t="shared" si="38"/>
      </c>
    </row>
    <row r="70" spans="1:48" ht="15" customHeight="1" thickBot="1">
      <c r="A70" s="515"/>
      <c r="B70" s="460">
        <f t="shared" si="2"/>
      </c>
      <c r="C70" s="461">
        <f t="shared" si="3"/>
      </c>
      <c r="D70" s="516"/>
      <c r="E70" s="461">
        <f t="shared" si="4"/>
      </c>
      <c r="F70" s="461">
        <f t="shared" si="5"/>
      </c>
      <c r="G70" s="461">
        <f t="shared" si="6"/>
      </c>
      <c r="H70" s="461">
        <f t="shared" si="7"/>
      </c>
      <c r="I70" s="461">
        <f t="shared" si="8"/>
      </c>
      <c r="J70" s="461">
        <f t="shared" si="9"/>
      </c>
      <c r="K70" s="462">
        <f t="shared" si="10"/>
      </c>
      <c r="L70" s="517">
        <f t="shared" si="11"/>
      </c>
      <c r="M70" s="518">
        <f t="shared" si="12"/>
      </c>
      <c r="N70" s="516"/>
      <c r="O70" s="460">
        <f t="shared" si="13"/>
      </c>
      <c r="P70" s="519">
        <f t="shared" si="14"/>
      </c>
      <c r="Q70" s="515"/>
      <c r="R70" s="460">
        <f t="shared" si="15"/>
      </c>
      <c r="S70" s="461">
        <f t="shared" si="16"/>
      </c>
      <c r="T70" s="516"/>
      <c r="U70" s="461">
        <f t="shared" si="17"/>
      </c>
      <c r="V70" s="461">
        <f t="shared" si="18"/>
      </c>
      <c r="W70" s="461">
        <f t="shared" si="19"/>
      </c>
      <c r="X70" s="461">
        <f t="shared" si="20"/>
      </c>
      <c r="Y70" s="461">
        <f t="shared" si="21"/>
      </c>
      <c r="Z70" s="461">
        <f t="shared" si="22"/>
      </c>
      <c r="AA70" s="462">
        <f t="shared" si="23"/>
      </c>
      <c r="AB70" s="517">
        <f t="shared" si="24"/>
      </c>
      <c r="AC70" s="518">
        <f t="shared" si="25"/>
      </c>
      <c r="AD70" s="516"/>
      <c r="AE70" s="460">
        <f t="shared" si="26"/>
      </c>
      <c r="AF70" s="519">
        <f t="shared" si="27"/>
      </c>
      <c r="AG70" s="515"/>
      <c r="AH70" s="460">
        <f t="shared" si="39"/>
      </c>
      <c r="AI70" s="461">
        <f t="shared" si="40"/>
      </c>
      <c r="AJ70" s="516"/>
      <c r="AK70" s="461">
        <f t="shared" si="28"/>
      </c>
      <c r="AL70" s="461">
        <f t="shared" si="29"/>
      </c>
      <c r="AM70" s="461">
        <f t="shared" si="30"/>
      </c>
      <c r="AN70" s="461">
        <f t="shared" si="31"/>
      </c>
      <c r="AO70" s="461">
        <f t="shared" si="32"/>
      </c>
      <c r="AP70" s="461">
        <f t="shared" si="33"/>
      </c>
      <c r="AQ70" s="462">
        <f t="shared" si="34"/>
      </c>
      <c r="AR70" s="517">
        <f t="shared" si="35"/>
      </c>
      <c r="AS70" s="518">
        <f t="shared" si="36"/>
      </c>
      <c r="AT70" s="516"/>
      <c r="AU70" s="460">
        <f t="shared" si="37"/>
      </c>
      <c r="AV70" s="519">
        <f t="shared" si="38"/>
      </c>
    </row>
    <row r="71" spans="13:15" ht="15.75" thickTop="1">
      <c r="M71" s="422"/>
      <c r="O71" s="423"/>
    </row>
    <row r="72" ht="15">
      <c r="M72" s="422"/>
    </row>
    <row r="73" ht="15">
      <c r="M73" s="422"/>
    </row>
    <row r="74" ht="15">
      <c r="M74" s="422"/>
    </row>
    <row r="75" ht="15">
      <c r="M75" s="422"/>
    </row>
    <row r="76" ht="15">
      <c r="M76" s="422"/>
    </row>
    <row r="77" ht="15">
      <c r="M77" s="422"/>
    </row>
    <row r="78" ht="15">
      <c r="M78" s="422"/>
    </row>
    <row r="79" spans="2:10" ht="15">
      <c r="B79" s="424"/>
      <c r="C79" s="424"/>
      <c r="D79" s="424"/>
      <c r="E79" s="424"/>
      <c r="F79" s="423"/>
      <c r="G79" s="423"/>
      <c r="H79" s="424"/>
      <c r="I79" s="424"/>
      <c r="J79" s="425"/>
    </row>
  </sheetData>
  <sheetProtection password="D2C3" sheet="1" objects="1" scenarios="1" formatCells="0" formatColumns="0" formatRows="0"/>
  <mergeCells count="6">
    <mergeCell ref="A1:P1"/>
    <mergeCell ref="A16:P16"/>
    <mergeCell ref="Q16:AF16"/>
    <mergeCell ref="AG16:AV16"/>
    <mergeCell ref="Q1:AF1"/>
    <mergeCell ref="AG1:AV1"/>
  </mergeCells>
  <printOptions/>
  <pageMargins left="0.5" right="0.5" top="0.5" bottom="0.5" header="0.5" footer="0.5"/>
  <pageSetup fitToWidth="3" fitToHeight="1" horizontalDpi="300" verticalDpi="300" orientation="portrait" scale="57" r:id="rId3"/>
  <headerFooter alignWithMargins="0">
    <oddFooter>&amp;L&amp;F, &amp;A&amp;R&amp;D, &amp;T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BA301"/>
  <sheetViews>
    <sheetView showGridLines="0" zoomScale="75" zoomScaleNormal="75" workbookViewId="0" topLeftCell="A1">
      <selection activeCell="B2" sqref="B2:G2"/>
    </sheetView>
  </sheetViews>
  <sheetFormatPr defaultColWidth="9.140625" defaultRowHeight="12.75"/>
  <cols>
    <col min="1" max="1" width="11.7109375" style="55" customWidth="1"/>
    <col min="2" max="2" width="40.57421875" style="63" customWidth="1"/>
    <col min="3" max="3" width="7.57421875" style="63" customWidth="1"/>
    <col min="4" max="4" width="11.28125" style="63" bestFit="1" customWidth="1"/>
    <col min="5" max="5" width="9.140625" style="63" customWidth="1"/>
    <col min="6" max="6" width="10.421875" style="63" bestFit="1" customWidth="1"/>
    <col min="7" max="7" width="9.140625" style="63" customWidth="1"/>
    <col min="8" max="8" width="13.7109375" style="63" customWidth="1"/>
    <col min="9" max="52" width="9.140625" style="63" customWidth="1"/>
    <col min="53" max="53" width="0" style="63" hidden="1" customWidth="1"/>
    <col min="54" max="16384" width="9.140625" style="63" customWidth="1"/>
  </cols>
  <sheetData>
    <row r="1" ht="13.5" thickBot="1"/>
    <row r="2" spans="2:7" ht="19.5" thickBot="1" thickTop="1">
      <c r="B2" s="582" t="s">
        <v>171</v>
      </c>
      <c r="C2" s="583"/>
      <c r="D2" s="583"/>
      <c r="E2" s="583"/>
      <c r="F2" s="583"/>
      <c r="G2" s="584"/>
    </row>
    <row r="3" spans="2:7" ht="13.5" thickTop="1">
      <c r="B3" s="81"/>
      <c r="C3" s="81"/>
      <c r="D3" s="81"/>
      <c r="E3" s="81"/>
      <c r="F3" s="81"/>
      <c r="G3" s="81"/>
    </row>
    <row r="4" spans="1:7" ht="12.75">
      <c r="A4" s="47" t="s">
        <v>375</v>
      </c>
      <c r="B4" s="585"/>
      <c r="C4" s="585"/>
      <c r="D4" s="585"/>
      <c r="E4" s="585"/>
      <c r="F4" s="585"/>
      <c r="G4" s="585"/>
    </row>
    <row r="5" spans="1:7" ht="12.75">
      <c r="A5" s="47" t="s">
        <v>376</v>
      </c>
      <c r="B5" s="586"/>
      <c r="C5" s="586"/>
      <c r="D5" s="586"/>
      <c r="E5" s="586"/>
      <c r="F5" s="586"/>
      <c r="G5" s="586"/>
    </row>
    <row r="6" spans="2:7" ht="12.75">
      <c r="B6" s="223"/>
      <c r="C6" s="94"/>
      <c r="D6" s="94"/>
      <c r="E6" s="94"/>
      <c r="F6" s="94"/>
      <c r="G6" s="94"/>
    </row>
    <row r="7" spans="2:7" ht="12.75">
      <c r="B7" s="223"/>
      <c r="C7" s="94"/>
      <c r="D7" s="94"/>
      <c r="E7" s="94"/>
      <c r="F7" s="94"/>
      <c r="G7" s="94"/>
    </row>
    <row r="8" spans="2:7" ht="12.75">
      <c r="B8" s="223"/>
      <c r="C8" s="94"/>
      <c r="D8" s="94"/>
      <c r="E8" s="94"/>
      <c r="F8" s="94"/>
      <c r="G8" s="94"/>
    </row>
    <row r="9" spans="2:7" ht="12.75">
      <c r="B9" s="223"/>
      <c r="C9" s="94"/>
      <c r="D9" s="94"/>
      <c r="E9" s="94"/>
      <c r="F9" s="94"/>
      <c r="G9" s="94"/>
    </row>
    <row r="10" spans="2:7" ht="12.75">
      <c r="B10" s="223"/>
      <c r="C10" s="94"/>
      <c r="D10" s="94"/>
      <c r="E10" s="94"/>
      <c r="F10" s="94"/>
      <c r="G10" s="94"/>
    </row>
    <row r="11" spans="2:7" ht="12.75">
      <c r="B11" s="223"/>
      <c r="C11" s="94"/>
      <c r="D11" s="94"/>
      <c r="E11" s="94"/>
      <c r="F11" s="94"/>
      <c r="G11" s="94"/>
    </row>
    <row r="12" spans="2:7" ht="12.75">
      <c r="B12" s="223"/>
      <c r="C12" s="94"/>
      <c r="D12" s="94"/>
      <c r="E12" s="94"/>
      <c r="F12" s="94"/>
      <c r="G12" s="94"/>
    </row>
    <row r="13" spans="2:7" ht="13.5" thickBot="1">
      <c r="B13" s="223"/>
      <c r="C13" s="94"/>
      <c r="D13" s="94"/>
      <c r="E13" s="94"/>
      <c r="F13" s="94"/>
      <c r="G13" s="81"/>
    </row>
    <row r="14" spans="1:16" ht="13.5" thickTop="1">
      <c r="A14" s="47"/>
      <c r="B14" s="340" t="s">
        <v>134</v>
      </c>
      <c r="C14" s="118"/>
      <c r="D14" s="118"/>
      <c r="E14" s="118"/>
      <c r="F14" s="118"/>
      <c r="G14" s="342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3.5">
      <c r="A15" s="47"/>
      <c r="B15" s="126" t="s">
        <v>45</v>
      </c>
      <c r="C15" s="97" t="s">
        <v>141</v>
      </c>
      <c r="D15" s="40"/>
      <c r="E15" s="97" t="s">
        <v>4</v>
      </c>
      <c r="F15" s="97"/>
      <c r="G15" s="108"/>
      <c r="H15" s="56"/>
      <c r="I15" s="57"/>
      <c r="J15" s="56"/>
      <c r="K15" s="56"/>
      <c r="L15" s="56"/>
      <c r="M15" s="56"/>
      <c r="N15" s="56"/>
      <c r="O15" s="56"/>
      <c r="P15" s="56"/>
    </row>
    <row r="16" spans="1:16" ht="13.5">
      <c r="A16" s="47"/>
      <c r="B16" s="126" t="s">
        <v>142</v>
      </c>
      <c r="C16" s="97" t="s">
        <v>150</v>
      </c>
      <c r="D16" s="29"/>
      <c r="E16" s="97" t="s">
        <v>143</v>
      </c>
      <c r="F16" s="97"/>
      <c r="G16" s="108"/>
      <c r="H16" s="56"/>
      <c r="I16" s="57"/>
      <c r="J16" s="56"/>
      <c r="K16" s="56"/>
      <c r="L16" s="56"/>
      <c r="M16" s="56"/>
      <c r="N16" s="56"/>
      <c r="O16" s="56"/>
      <c r="P16" s="56"/>
    </row>
    <row r="17" spans="1:16" ht="12.75">
      <c r="A17" s="47"/>
      <c r="B17" s="126" t="s">
        <v>159</v>
      </c>
      <c r="C17" s="97" t="s">
        <v>11</v>
      </c>
      <c r="D17" s="30"/>
      <c r="E17" s="97" t="s">
        <v>1</v>
      </c>
      <c r="F17" s="97"/>
      <c r="G17" s="108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3.5">
      <c r="A18" s="47"/>
      <c r="B18" s="131" t="s">
        <v>144</v>
      </c>
      <c r="C18" s="112" t="s">
        <v>152</v>
      </c>
      <c r="D18" s="442"/>
      <c r="E18" s="97" t="s">
        <v>4</v>
      </c>
      <c r="F18" s="97"/>
      <c r="G18" s="108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2.75">
      <c r="A19" s="47"/>
      <c r="B19" s="126" t="s">
        <v>17</v>
      </c>
      <c r="C19" s="97" t="s">
        <v>18</v>
      </c>
      <c r="D19" s="35"/>
      <c r="E19" s="97" t="s">
        <v>1</v>
      </c>
      <c r="F19" s="97"/>
      <c r="G19" s="108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2.75">
      <c r="A20" s="47"/>
      <c r="B20" s="126" t="s">
        <v>19</v>
      </c>
      <c r="C20" s="97" t="s">
        <v>20</v>
      </c>
      <c r="D20" s="35"/>
      <c r="E20" s="97" t="s">
        <v>1</v>
      </c>
      <c r="F20" s="97"/>
      <c r="G20" s="108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2.75" customHeight="1">
      <c r="A21" s="47"/>
      <c r="B21" s="126" t="s">
        <v>172</v>
      </c>
      <c r="C21" s="97" t="s">
        <v>619</v>
      </c>
      <c r="D21" s="27"/>
      <c r="E21" s="97"/>
      <c r="F21" s="97"/>
      <c r="G21" s="108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2.75" customHeight="1">
      <c r="A22" s="47"/>
      <c r="B22" s="126" t="s">
        <v>173</v>
      </c>
      <c r="C22" s="97" t="s">
        <v>620</v>
      </c>
      <c r="D22" s="27"/>
      <c r="E22" s="97"/>
      <c r="F22" s="97"/>
      <c r="G22" s="108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2.75">
      <c r="A23" s="47"/>
      <c r="B23" s="131" t="s">
        <v>145</v>
      </c>
      <c r="C23" s="97"/>
      <c r="D23" s="97"/>
      <c r="E23" s="97"/>
      <c r="F23" s="97"/>
      <c r="G23" s="108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2.75">
      <c r="A24" s="47"/>
      <c r="B24" s="126"/>
      <c r="C24" s="106" t="s">
        <v>146</v>
      </c>
      <c r="D24" s="441"/>
      <c r="E24" s="97" t="s">
        <v>148</v>
      </c>
      <c r="F24" s="97"/>
      <c r="G24" s="108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2.75">
      <c r="A25" s="47"/>
      <c r="B25" s="126"/>
      <c r="C25" s="106" t="s">
        <v>147</v>
      </c>
      <c r="D25" s="32"/>
      <c r="E25" s="97" t="s">
        <v>149</v>
      </c>
      <c r="F25" s="97"/>
      <c r="G25" s="108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3.5" thickBot="1">
      <c r="A26" s="47"/>
      <c r="B26" s="344"/>
      <c r="C26" s="347"/>
      <c r="D26" s="347"/>
      <c r="E26" s="347"/>
      <c r="F26" s="347"/>
      <c r="G26" s="339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.5" thickTop="1">
      <c r="A27" s="47"/>
      <c r="B27" s="340" t="s">
        <v>135</v>
      </c>
      <c r="C27" s="118"/>
      <c r="D27" s="349" t="s">
        <v>160</v>
      </c>
      <c r="E27" s="118"/>
      <c r="F27" s="350" t="s">
        <v>161</v>
      </c>
      <c r="G27" s="342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2.75">
      <c r="A28" s="47"/>
      <c r="B28" s="126" t="s">
        <v>13</v>
      </c>
      <c r="C28" s="97" t="s">
        <v>151</v>
      </c>
      <c r="D28" s="443"/>
      <c r="E28" s="97" t="s">
        <v>2</v>
      </c>
      <c r="F28" s="426"/>
      <c r="G28" s="108" t="s">
        <v>2</v>
      </c>
      <c r="H28" s="348"/>
      <c r="I28" s="56"/>
      <c r="J28" s="56"/>
      <c r="K28" s="56"/>
      <c r="L28" s="56"/>
      <c r="M28" s="56"/>
      <c r="N28" s="56"/>
      <c r="O28" s="56"/>
      <c r="P28" s="56"/>
    </row>
    <row r="29" spans="1:16" ht="13.5">
      <c r="A29" s="47"/>
      <c r="B29" s="126" t="s">
        <v>174</v>
      </c>
      <c r="C29" s="112" t="s">
        <v>192</v>
      </c>
      <c r="D29" s="429"/>
      <c r="E29" s="112" t="s">
        <v>2</v>
      </c>
      <c r="F29" s="428"/>
      <c r="G29" s="124" t="s">
        <v>2</v>
      </c>
      <c r="H29" s="348"/>
      <c r="I29" s="56"/>
      <c r="J29" s="56"/>
      <c r="K29" s="56"/>
      <c r="L29" s="56"/>
      <c r="M29" s="56"/>
      <c r="N29" s="56"/>
      <c r="O29" s="56"/>
      <c r="P29" s="56"/>
    </row>
    <row r="30" spans="1:16" ht="13.5">
      <c r="A30" s="47"/>
      <c r="B30" s="126" t="s">
        <v>153</v>
      </c>
      <c r="C30" s="112" t="s">
        <v>193</v>
      </c>
      <c r="D30" s="429"/>
      <c r="E30" s="112" t="s">
        <v>3</v>
      </c>
      <c r="F30" s="428"/>
      <c r="G30" s="124" t="s">
        <v>3</v>
      </c>
      <c r="H30" s="348"/>
      <c r="I30" s="56"/>
      <c r="J30" s="56"/>
      <c r="K30" s="56"/>
      <c r="L30" s="56"/>
      <c r="M30" s="56"/>
      <c r="N30" s="56"/>
      <c r="O30" s="56"/>
      <c r="P30" s="56"/>
    </row>
    <row r="31" spans="1:16" ht="12.75">
      <c r="A31" s="47"/>
      <c r="B31" s="126" t="s">
        <v>154</v>
      </c>
      <c r="C31" s="97" t="s">
        <v>25</v>
      </c>
      <c r="D31" s="4"/>
      <c r="E31" s="97" t="s">
        <v>2</v>
      </c>
      <c r="F31" s="427"/>
      <c r="G31" s="108" t="s">
        <v>2</v>
      </c>
      <c r="H31" s="348"/>
      <c r="I31" s="56"/>
      <c r="J31" s="56"/>
      <c r="K31" s="56"/>
      <c r="L31" s="56"/>
      <c r="M31" s="56"/>
      <c r="N31" s="56"/>
      <c r="O31" s="56"/>
      <c r="P31" s="56"/>
    </row>
    <row r="32" spans="1:16" ht="12.75">
      <c r="A32" s="47"/>
      <c r="B32" s="126" t="s">
        <v>155</v>
      </c>
      <c r="C32" s="97" t="s">
        <v>27</v>
      </c>
      <c r="D32" s="4"/>
      <c r="E32" s="97" t="s">
        <v>28</v>
      </c>
      <c r="F32" s="427"/>
      <c r="G32" s="108" t="s">
        <v>28</v>
      </c>
      <c r="H32" s="348"/>
      <c r="I32" s="56"/>
      <c r="J32" s="56"/>
      <c r="K32" s="56"/>
      <c r="L32" s="56"/>
      <c r="M32" s="56"/>
      <c r="N32" s="56"/>
      <c r="O32" s="56"/>
      <c r="P32" s="56"/>
    </row>
    <row r="33" spans="1:16" ht="12.75">
      <c r="A33" s="47"/>
      <c r="B33" s="126" t="s">
        <v>156</v>
      </c>
      <c r="C33" s="112" t="s">
        <v>36</v>
      </c>
      <c r="D33" s="429"/>
      <c r="E33" s="112"/>
      <c r="F33" s="428"/>
      <c r="G33" s="108"/>
      <c r="H33" s="348"/>
      <c r="I33" s="56"/>
      <c r="J33" s="56"/>
      <c r="K33" s="56"/>
      <c r="L33" s="56"/>
      <c r="M33" s="56"/>
      <c r="N33" s="56"/>
      <c r="O33" s="56"/>
      <c r="P33" s="56"/>
    </row>
    <row r="34" spans="1:16" ht="12.75">
      <c r="A34" s="47"/>
      <c r="B34" s="126" t="s">
        <v>157</v>
      </c>
      <c r="C34" s="97" t="s">
        <v>32</v>
      </c>
      <c r="D34" s="4"/>
      <c r="E34" s="97" t="s">
        <v>2</v>
      </c>
      <c r="F34" s="427"/>
      <c r="G34" s="108" t="s">
        <v>2</v>
      </c>
      <c r="H34" s="348"/>
      <c r="I34" s="56"/>
      <c r="J34" s="56"/>
      <c r="K34" s="56"/>
      <c r="L34" s="56"/>
      <c r="M34" s="56"/>
      <c r="N34" s="56"/>
      <c r="O34" s="56"/>
      <c r="P34" s="56"/>
    </row>
    <row r="35" spans="1:16" ht="12.75">
      <c r="A35" s="47"/>
      <c r="B35" s="126" t="s">
        <v>158</v>
      </c>
      <c r="C35" s="97" t="s">
        <v>30</v>
      </c>
      <c r="D35" s="4"/>
      <c r="E35" s="97" t="s">
        <v>2</v>
      </c>
      <c r="F35" s="427"/>
      <c r="G35" s="108" t="s">
        <v>2</v>
      </c>
      <c r="H35" s="348"/>
      <c r="I35" s="56"/>
      <c r="J35" s="56"/>
      <c r="K35" s="56"/>
      <c r="L35" s="56"/>
      <c r="M35" s="56"/>
      <c r="N35" s="56"/>
      <c r="O35" s="56"/>
      <c r="P35" s="56"/>
    </row>
    <row r="36" spans="1:16" ht="12.75">
      <c r="A36" s="47"/>
      <c r="B36" s="126"/>
      <c r="C36" s="97"/>
      <c r="D36" s="56"/>
      <c r="E36" s="94"/>
      <c r="F36" s="56"/>
      <c r="G36" s="108"/>
      <c r="H36" s="348"/>
      <c r="I36" s="56"/>
      <c r="J36" s="56"/>
      <c r="K36" s="56"/>
      <c r="L36" s="56"/>
      <c r="M36" s="56"/>
      <c r="N36" s="56"/>
      <c r="O36" s="56"/>
      <c r="P36" s="56"/>
    </row>
    <row r="37" spans="1:16" ht="13.5">
      <c r="A37" s="47"/>
      <c r="B37" s="126" t="s">
        <v>162</v>
      </c>
      <c r="C37" s="97" t="s">
        <v>169</v>
      </c>
      <c r="D37" s="444"/>
      <c r="E37" s="112" t="s">
        <v>2</v>
      </c>
      <c r="F37" s="439"/>
      <c r="G37" s="108" t="s">
        <v>2</v>
      </c>
      <c r="H37" s="348"/>
      <c r="I37" s="56"/>
      <c r="J37" s="56"/>
      <c r="K37" s="56"/>
      <c r="L37" s="56"/>
      <c r="M37" s="56"/>
      <c r="N37" s="56"/>
      <c r="O37" s="56"/>
      <c r="P37" s="56"/>
    </row>
    <row r="38" spans="1:16" ht="13.5">
      <c r="A38" s="47"/>
      <c r="B38" s="126" t="s">
        <v>163</v>
      </c>
      <c r="C38" s="97" t="s">
        <v>170</v>
      </c>
      <c r="D38" s="429"/>
      <c r="E38" s="112" t="s">
        <v>3</v>
      </c>
      <c r="F38" s="428"/>
      <c r="G38" s="108" t="s">
        <v>3</v>
      </c>
      <c r="H38" s="348"/>
      <c r="I38" s="56"/>
      <c r="J38" s="56"/>
      <c r="K38" s="56"/>
      <c r="L38" s="56"/>
      <c r="M38" s="56"/>
      <c r="N38" s="56"/>
      <c r="O38" s="56"/>
      <c r="P38" s="56"/>
    </row>
    <row r="39" spans="1:16" ht="12.75">
      <c r="A39" s="47"/>
      <c r="B39" s="126" t="s">
        <v>164</v>
      </c>
      <c r="C39" s="97" t="s">
        <v>25</v>
      </c>
      <c r="D39" s="4"/>
      <c r="E39" s="97" t="s">
        <v>2</v>
      </c>
      <c r="F39" s="427"/>
      <c r="G39" s="108" t="s">
        <v>2</v>
      </c>
      <c r="H39" s="348"/>
      <c r="I39" s="56"/>
      <c r="J39" s="56"/>
      <c r="K39" s="56"/>
      <c r="L39" s="56"/>
      <c r="M39" s="56"/>
      <c r="N39" s="56"/>
      <c r="O39" s="56"/>
      <c r="P39" s="56"/>
    </row>
    <row r="40" spans="1:16" ht="12.75">
      <c r="A40" s="47"/>
      <c r="B40" s="126" t="s">
        <v>165</v>
      </c>
      <c r="C40" s="97" t="s">
        <v>27</v>
      </c>
      <c r="D40" s="4"/>
      <c r="E40" s="97" t="s">
        <v>28</v>
      </c>
      <c r="F40" s="427"/>
      <c r="G40" s="108" t="s">
        <v>28</v>
      </c>
      <c r="H40" s="348"/>
      <c r="I40" s="56"/>
      <c r="J40" s="56"/>
      <c r="K40" s="56"/>
      <c r="L40" s="56"/>
      <c r="M40" s="56"/>
      <c r="N40" s="56"/>
      <c r="O40" s="56"/>
      <c r="P40" s="56"/>
    </row>
    <row r="41" spans="1:16" ht="12.75">
      <c r="A41" s="47"/>
      <c r="B41" s="126" t="s">
        <v>166</v>
      </c>
      <c r="C41" s="112" t="s">
        <v>36</v>
      </c>
      <c r="D41" s="429"/>
      <c r="E41" s="112"/>
      <c r="F41" s="428"/>
      <c r="G41" s="108"/>
      <c r="H41" s="348"/>
      <c r="I41" s="56"/>
      <c r="J41" s="56"/>
      <c r="K41" s="56"/>
      <c r="L41" s="56"/>
      <c r="M41" s="56"/>
      <c r="N41" s="56"/>
      <c r="O41" s="56"/>
      <c r="P41" s="56"/>
    </row>
    <row r="42" spans="1:16" ht="12.75">
      <c r="A42" s="47"/>
      <c r="B42" s="126" t="s">
        <v>167</v>
      </c>
      <c r="C42" s="97" t="s">
        <v>32</v>
      </c>
      <c r="D42" s="4"/>
      <c r="E42" s="97" t="s">
        <v>2</v>
      </c>
      <c r="F42" s="427"/>
      <c r="G42" s="108" t="s">
        <v>2</v>
      </c>
      <c r="H42" s="348"/>
      <c r="I42" s="56"/>
      <c r="J42" s="56"/>
      <c r="K42" s="56"/>
      <c r="L42" s="56"/>
      <c r="M42" s="56"/>
      <c r="N42" s="56"/>
      <c r="O42" s="56"/>
      <c r="P42" s="56"/>
    </row>
    <row r="43" spans="1:16" ht="12.75">
      <c r="A43" s="47"/>
      <c r="B43" s="126" t="s">
        <v>168</v>
      </c>
      <c r="C43" s="97" t="s">
        <v>30</v>
      </c>
      <c r="D43" s="4"/>
      <c r="E43" s="97" t="s">
        <v>2</v>
      </c>
      <c r="F43" s="427"/>
      <c r="G43" s="108" t="s">
        <v>2</v>
      </c>
      <c r="H43" s="348"/>
      <c r="I43" s="56"/>
      <c r="J43" s="56"/>
      <c r="K43" s="56"/>
      <c r="L43" s="56"/>
      <c r="M43" s="56"/>
      <c r="N43" s="56"/>
      <c r="O43" s="56"/>
      <c r="P43" s="56"/>
    </row>
    <row r="44" spans="1:16" ht="12.75">
      <c r="A44" s="47"/>
      <c r="B44" s="126"/>
      <c r="C44" s="97"/>
      <c r="D44" s="57"/>
      <c r="E44" s="351"/>
      <c r="F44" s="57"/>
      <c r="G44" s="108"/>
      <c r="H44" s="348"/>
      <c r="I44" s="56"/>
      <c r="J44" s="56"/>
      <c r="K44" s="56"/>
      <c r="L44" s="56"/>
      <c r="M44" s="56"/>
      <c r="N44" s="56"/>
      <c r="O44" s="56"/>
      <c r="P44" s="56"/>
    </row>
    <row r="45" spans="1:16" ht="12.75">
      <c r="A45" s="47"/>
      <c r="B45" s="131" t="s">
        <v>53</v>
      </c>
      <c r="C45" s="97"/>
      <c r="D45" s="58"/>
      <c r="E45" s="97"/>
      <c r="F45" s="58"/>
      <c r="G45" s="108"/>
      <c r="H45" s="348"/>
      <c r="I45" s="56"/>
      <c r="J45" s="56"/>
      <c r="K45" s="56"/>
      <c r="L45" s="56"/>
      <c r="M45" s="56"/>
      <c r="N45" s="56"/>
      <c r="O45" s="56"/>
      <c r="P45" s="56"/>
    </row>
    <row r="46" spans="1:16" ht="12.75">
      <c r="A46" s="47"/>
      <c r="B46" s="126" t="s">
        <v>55</v>
      </c>
      <c r="C46" s="97" t="s">
        <v>54</v>
      </c>
      <c r="D46" s="440"/>
      <c r="E46" s="97" t="s">
        <v>1</v>
      </c>
      <c r="F46" s="440"/>
      <c r="G46" s="108" t="s">
        <v>1</v>
      </c>
      <c r="H46" s="348"/>
      <c r="I46" s="56"/>
      <c r="J46" s="56"/>
      <c r="K46" s="56"/>
      <c r="L46" s="56"/>
      <c r="M46" s="56"/>
      <c r="N46" s="56"/>
      <c r="O46" s="56"/>
      <c r="P46" s="56"/>
    </row>
    <row r="47" spans="1:16" ht="12.75">
      <c r="A47" s="47"/>
      <c r="B47" s="126" t="s">
        <v>56</v>
      </c>
      <c r="C47" s="97" t="s">
        <v>51</v>
      </c>
      <c r="D47" s="13">
        <f>IF(D46="","",(D17-D46)*100)</f>
      </c>
      <c r="E47" s="445" t="s">
        <v>52</v>
      </c>
      <c r="F47" s="13">
        <f>IF(F46="","",(D17-D46)*100)</f>
      </c>
      <c r="G47" s="108" t="s">
        <v>52</v>
      </c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3.5" thickBot="1">
      <c r="A48" s="47"/>
      <c r="B48" s="352" t="s">
        <v>0</v>
      </c>
      <c r="C48" s="347" t="s">
        <v>0</v>
      </c>
      <c r="D48" s="353"/>
      <c r="E48" s="347" t="s">
        <v>0</v>
      </c>
      <c r="F48" s="347"/>
      <c r="G48" s="339"/>
      <c r="H48" s="56"/>
      <c r="I48" s="56"/>
      <c r="J48" s="56"/>
      <c r="K48" s="56"/>
      <c r="L48" s="56"/>
      <c r="M48" s="56"/>
      <c r="N48" s="56"/>
      <c r="O48" s="56"/>
      <c r="P48" s="56"/>
    </row>
    <row r="49" spans="2:17" ht="13.5" customHeight="1" thickTop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2:17" ht="12.75" customHeight="1">
      <c r="B50" s="222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2.75" customHeight="1">
      <c r="A51" s="61"/>
      <c r="B51" s="22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2:17" ht="12.75">
      <c r="B52" s="22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2:17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2:17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2:17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2:17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2:17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2:17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2:17" ht="12.7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2:17" ht="12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2:17" ht="12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2:17" ht="12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2:17" ht="12.7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2:17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2:17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2:17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2:17" ht="12.7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2:17" ht="12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2:17" ht="12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2:17" ht="12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2:17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2:17" ht="12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2:17" ht="12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2:17" ht="12.7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2:17" ht="12.7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2:17" ht="12.7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2:17" ht="12.7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2:17" ht="12.7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2:17" ht="12.7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2:17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2:17" ht="12.7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2:17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2:17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2:17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2:17" ht="12.7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7" ht="12.7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2.7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2:17" ht="12.7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2:17" ht="12.7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2:17" ht="12.7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2:17" ht="12.7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2:17" ht="12.7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2:17" ht="12.7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ht="12.7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2:17" ht="12.7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2:17" ht="12.7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2:17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2:17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2:17" ht="12.7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2:17" ht="12.7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2:17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2:17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2:17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2:17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2:17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2:17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2:17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2:17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2:17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2:17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2:17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2:17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2:17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2:17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2:17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2:17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2:17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2:17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2:17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2:17" ht="12.7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2:17" ht="12.7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2:17" ht="12.7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2:17" ht="12.7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2:17" ht="12.7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2:17" ht="12.7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2:17" ht="12.7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2:17" ht="12.7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2:17" ht="12.7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2:17" ht="12.7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2:17" ht="12.7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2:17" ht="12.7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2:17" ht="12.7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2:17" ht="12.7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2:17" ht="12.7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2:17" ht="12.7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2:17" ht="12.7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2:17" ht="12.7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2:17" ht="12.7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2:17" ht="12.7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2:17" ht="12.7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8:17" ht="12.75"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8:17" ht="12.75"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8:17" ht="12.75"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8:17" ht="12.75"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8:17" ht="12.75"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8:17" ht="12.75"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300" ht="12.75">
      <c r="BA300" s="62">
        <v>4.6</v>
      </c>
    </row>
    <row r="301" ht="12.75">
      <c r="BA301" s="63">
        <v>5</v>
      </c>
    </row>
  </sheetData>
  <sheetProtection password="D2C3" sheet="1" objects="1" scenarios="1" formatCells="0" formatColumns="0" formatRows="0"/>
  <mergeCells count="3">
    <mergeCell ref="B2:G2"/>
    <mergeCell ref="B4:G4"/>
    <mergeCell ref="B5:G5"/>
  </mergeCells>
  <printOptions horizontalCentered="1"/>
  <pageMargins left="0.5" right="0.75" top="0.75" bottom="0.75" header="0.5" footer="0.5"/>
  <pageSetup fitToHeight="1" fitToWidth="1" horizontalDpi="300" verticalDpi="300" orientation="portrait" scale="83" r:id="rId3"/>
  <headerFooter alignWithMargins="0">
    <oddFooter>&amp;L&amp;F, &amp;A&amp;R&amp;D, &amp;T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H51"/>
  <sheetViews>
    <sheetView showGridLines="0" zoomScale="75" zoomScaleNormal="75" zoomScaleSheetLayoutView="75" workbookViewId="0" topLeftCell="A1">
      <selection activeCell="A2" sqref="A2:H2"/>
    </sheetView>
  </sheetViews>
  <sheetFormatPr defaultColWidth="9.140625" defaultRowHeight="12.75"/>
  <cols>
    <col min="1" max="1" width="12.00390625" style="319" customWidth="1"/>
    <col min="2" max="2" width="28.421875" style="63" customWidth="1"/>
    <col min="3" max="3" width="8.57421875" style="63" customWidth="1"/>
    <col min="4" max="4" width="10.28125" style="63" customWidth="1"/>
    <col min="5" max="5" width="9.57421875" style="63" customWidth="1"/>
    <col min="6" max="6" width="9.140625" style="63" customWidth="1"/>
    <col min="7" max="7" width="8.8515625" style="63" customWidth="1"/>
    <col min="8" max="8" width="9.140625" style="63" customWidth="1"/>
    <col min="9" max="11" width="5.7109375" style="63" customWidth="1"/>
    <col min="12" max="12" width="5.8515625" style="63" customWidth="1"/>
    <col min="13" max="13" width="5.7109375" style="63" customWidth="1"/>
    <col min="14" max="16384" width="9.140625" style="63" customWidth="1"/>
  </cols>
  <sheetData>
    <row r="1" ht="13.5" thickBot="1"/>
    <row r="2" spans="1:8" ht="19.5" thickBot="1" thickTop="1">
      <c r="A2" s="597" t="s">
        <v>617</v>
      </c>
      <c r="B2" s="598"/>
      <c r="C2" s="598"/>
      <c r="D2" s="598"/>
      <c r="E2" s="598"/>
      <c r="F2" s="598"/>
      <c r="G2" s="598"/>
      <c r="H2" s="599"/>
    </row>
    <row r="3" spans="2:7" ht="13.5" thickTop="1">
      <c r="B3" s="81"/>
      <c r="C3" s="81"/>
      <c r="D3" s="81"/>
      <c r="E3" s="81"/>
      <c r="F3" s="81"/>
      <c r="G3" s="81"/>
    </row>
    <row r="4" spans="1:7" ht="12.75">
      <c r="A4" s="47" t="s">
        <v>375</v>
      </c>
      <c r="B4" s="595"/>
      <c r="C4" s="595"/>
      <c r="D4" s="595"/>
      <c r="E4" s="595"/>
      <c r="F4" s="595"/>
      <c r="G4" s="595"/>
    </row>
    <row r="5" spans="1:7" ht="12.75">
      <c r="A5" s="47" t="s">
        <v>376</v>
      </c>
      <c r="B5" s="596"/>
      <c r="C5" s="596"/>
      <c r="D5" s="596"/>
      <c r="E5" s="596"/>
      <c r="F5" s="596"/>
      <c r="G5" s="596"/>
    </row>
    <row r="6" spans="1:7" ht="12.75">
      <c r="A6" s="47"/>
      <c r="B6" s="223"/>
      <c r="C6" s="94"/>
      <c r="D6" s="94"/>
      <c r="E6" s="94"/>
      <c r="F6" s="94"/>
      <c r="G6" s="94"/>
    </row>
    <row r="7" spans="1:7" ht="12.75">
      <c r="A7" s="47"/>
      <c r="B7" s="223"/>
      <c r="C7" s="94"/>
      <c r="D7" s="94"/>
      <c r="E7" s="94"/>
      <c r="F7" s="94"/>
      <c r="G7" s="94"/>
    </row>
    <row r="8" spans="1:7" ht="12.75">
      <c r="A8" s="47"/>
      <c r="B8" s="223"/>
      <c r="C8" s="94"/>
      <c r="D8" s="94"/>
      <c r="E8" s="94"/>
      <c r="F8" s="94"/>
      <c r="G8" s="94"/>
    </row>
    <row r="9" spans="1:7" ht="12.75">
      <c r="A9" s="47"/>
      <c r="B9" s="223"/>
      <c r="C9" s="94"/>
      <c r="D9" s="94"/>
      <c r="E9" s="94"/>
      <c r="F9" s="94"/>
      <c r="G9" s="94"/>
    </row>
    <row r="10" spans="1:7" ht="12.75">
      <c r="A10" s="47"/>
      <c r="B10" s="223"/>
      <c r="C10" s="94"/>
      <c r="D10" s="94"/>
      <c r="E10" s="94"/>
      <c r="F10" s="94"/>
      <c r="G10" s="94"/>
    </row>
    <row r="11" spans="1:7" ht="12.75">
      <c r="A11" s="47"/>
      <c r="B11" s="223"/>
      <c r="C11" s="94"/>
      <c r="D11" s="94"/>
      <c r="E11" s="94"/>
      <c r="F11" s="94"/>
      <c r="G11" s="94"/>
    </row>
    <row r="12" spans="1:7" ht="12.75">
      <c r="A12" s="47"/>
      <c r="B12" s="223"/>
      <c r="C12" s="94"/>
      <c r="D12" s="94"/>
      <c r="E12" s="94"/>
      <c r="F12" s="94"/>
      <c r="G12" s="94"/>
    </row>
    <row r="13" spans="1:8" ht="13.5" thickBot="1">
      <c r="A13" s="47"/>
      <c r="B13" s="223" t="s">
        <v>10</v>
      </c>
      <c r="C13" s="81"/>
      <c r="D13" s="81"/>
      <c r="E13" s="81"/>
      <c r="F13" s="81"/>
      <c r="G13" s="81"/>
      <c r="H13" s="56"/>
    </row>
    <row r="14" spans="1:8" ht="13.5" thickTop="1">
      <c r="A14" s="47"/>
      <c r="B14" s="323" t="s">
        <v>189</v>
      </c>
      <c r="C14" s="324" t="s">
        <v>58</v>
      </c>
      <c r="D14" s="324" t="s">
        <v>59</v>
      </c>
      <c r="E14" s="324" t="s">
        <v>57</v>
      </c>
      <c r="F14" s="324" t="s">
        <v>60</v>
      </c>
      <c r="G14" s="325" t="s">
        <v>61</v>
      </c>
      <c r="H14" s="56"/>
    </row>
    <row r="15" spans="1:8" ht="13.5" thickBot="1">
      <c r="A15" s="47"/>
      <c r="B15" s="326" t="s">
        <v>535</v>
      </c>
      <c r="C15" s="327">
        <v>0.06</v>
      </c>
      <c r="D15" s="327">
        <v>0.04</v>
      </c>
      <c r="E15" s="327">
        <v>0.033</v>
      </c>
      <c r="F15" s="327">
        <v>0.03</v>
      </c>
      <c r="G15" s="328">
        <v>0.024</v>
      </c>
      <c r="H15" s="56"/>
    </row>
    <row r="16" spans="1:8" ht="14.25" thickBot="1" thickTop="1">
      <c r="A16" s="47"/>
      <c r="B16" s="329"/>
      <c r="C16" s="330"/>
      <c r="D16" s="330"/>
      <c r="E16" s="330"/>
      <c r="F16" s="330"/>
      <c r="G16" s="330"/>
      <c r="H16" s="56"/>
    </row>
    <row r="17" spans="1:8" ht="24.75" customHeight="1" thickTop="1">
      <c r="A17" s="320"/>
      <c r="B17" s="331" t="s">
        <v>188</v>
      </c>
      <c r="C17" s="589" t="s">
        <v>186</v>
      </c>
      <c r="D17" s="589"/>
      <c r="E17" s="589" t="s">
        <v>187</v>
      </c>
      <c r="F17" s="590"/>
      <c r="G17" s="591"/>
      <c r="H17" s="56"/>
    </row>
    <row r="18" spans="1:8" ht="13.5" customHeight="1">
      <c r="A18" s="282"/>
      <c r="B18" s="332" t="s">
        <v>182</v>
      </c>
      <c r="C18" s="587" t="s">
        <v>184</v>
      </c>
      <c r="D18" s="587"/>
      <c r="E18" s="592">
        <v>0.8</v>
      </c>
      <c r="F18" s="592"/>
      <c r="G18" s="593"/>
      <c r="H18" s="56"/>
    </row>
    <row r="19" spans="1:8" ht="13.5" customHeight="1" thickBot="1">
      <c r="A19" s="282"/>
      <c r="B19" s="333" t="s">
        <v>183</v>
      </c>
      <c r="C19" s="588" t="s">
        <v>185</v>
      </c>
      <c r="D19" s="588"/>
      <c r="E19" s="588">
        <v>0.6</v>
      </c>
      <c r="F19" s="588"/>
      <c r="G19" s="594"/>
      <c r="H19" s="56"/>
    </row>
    <row r="20" spans="1:8" ht="8.25" customHeight="1" thickBot="1" thickTop="1">
      <c r="A20" s="282"/>
      <c r="B20" s="148"/>
      <c r="C20" s="334"/>
      <c r="D20" s="335"/>
      <c r="E20" s="334"/>
      <c r="F20" s="336"/>
      <c r="G20" s="336"/>
      <c r="H20" s="56"/>
    </row>
    <row r="21" spans="1:8" ht="15" customHeight="1" thickTop="1">
      <c r="A21" s="47"/>
      <c r="B21" s="337" t="s">
        <v>10</v>
      </c>
      <c r="C21" s="118"/>
      <c r="D21" s="118"/>
      <c r="E21" s="118"/>
      <c r="F21" s="118"/>
      <c r="G21" s="103"/>
      <c r="H21" s="56"/>
    </row>
    <row r="22" spans="1:8" ht="12.75">
      <c r="A22" s="503"/>
      <c r="B22" s="126" t="s">
        <v>611</v>
      </c>
      <c r="C22" s="106"/>
      <c r="D22" s="34"/>
      <c r="E22" s="97"/>
      <c r="F22" s="97"/>
      <c r="G22" s="110"/>
      <c r="H22" s="56"/>
    </row>
    <row r="23" spans="1:8" ht="12.75">
      <c r="A23" s="503"/>
      <c r="B23" s="126" t="s">
        <v>612</v>
      </c>
      <c r="C23" s="106" t="s">
        <v>424</v>
      </c>
      <c r="D23" s="33"/>
      <c r="E23" s="97" t="s">
        <v>0</v>
      </c>
      <c r="F23" s="338"/>
      <c r="G23" s="108"/>
      <c r="H23" s="56"/>
    </row>
    <row r="24" spans="1:7" ht="12.75">
      <c r="A24" s="503"/>
      <c r="B24" s="126" t="s">
        <v>12</v>
      </c>
      <c r="C24" s="106" t="s">
        <v>11</v>
      </c>
      <c r="D24" s="26"/>
      <c r="E24" s="97" t="s">
        <v>1</v>
      </c>
      <c r="F24" s="97"/>
      <c r="G24" s="110"/>
    </row>
    <row r="25" spans="1:7" ht="12.75">
      <c r="A25" s="503"/>
      <c r="B25" s="126" t="s">
        <v>13</v>
      </c>
      <c r="C25" s="106" t="s">
        <v>15</v>
      </c>
      <c r="D25" s="431"/>
      <c r="E25" s="97" t="s">
        <v>16</v>
      </c>
      <c r="F25" s="97"/>
      <c r="G25" s="108"/>
    </row>
    <row r="26" spans="1:8" ht="12.75">
      <c r="A26" s="503"/>
      <c r="B26" s="126" t="s">
        <v>17</v>
      </c>
      <c r="C26" s="106" t="s">
        <v>18</v>
      </c>
      <c r="D26" s="431"/>
      <c r="E26" s="97" t="s">
        <v>1</v>
      </c>
      <c r="F26" s="97"/>
      <c r="G26" s="108"/>
      <c r="H26" s="56"/>
    </row>
    <row r="27" spans="1:8" ht="12.75">
      <c r="A27" s="503"/>
      <c r="B27" s="126" t="s">
        <v>19</v>
      </c>
      <c r="C27" s="106" t="s">
        <v>20</v>
      </c>
      <c r="D27" s="431"/>
      <c r="E27" s="97" t="s">
        <v>1</v>
      </c>
      <c r="F27" s="97"/>
      <c r="G27" s="108"/>
      <c r="H27" s="56"/>
    </row>
    <row r="28" spans="1:8" ht="12.75">
      <c r="A28" s="503"/>
      <c r="B28" s="131" t="s">
        <v>45</v>
      </c>
      <c r="C28" s="121" t="s">
        <v>102</v>
      </c>
      <c r="D28" s="505"/>
      <c r="E28" s="112" t="s">
        <v>4</v>
      </c>
      <c r="F28" s="338"/>
      <c r="G28" s="108"/>
      <c r="H28" s="56"/>
    </row>
    <row r="29" spans="1:8" ht="12.75">
      <c r="A29" s="503"/>
      <c r="B29" s="131" t="s">
        <v>145</v>
      </c>
      <c r="C29" s="106"/>
      <c r="D29" s="97"/>
      <c r="E29" s="97"/>
      <c r="F29" s="338"/>
      <c r="G29" s="108"/>
      <c r="H29" s="56"/>
    </row>
    <row r="30" spans="1:8" ht="12.75">
      <c r="A30" s="503"/>
      <c r="B30" s="126"/>
      <c r="C30" s="106" t="s">
        <v>146</v>
      </c>
      <c r="D30" s="31"/>
      <c r="E30" s="97" t="s">
        <v>148</v>
      </c>
      <c r="F30" s="338"/>
      <c r="G30" s="108"/>
      <c r="H30" s="56"/>
    </row>
    <row r="31" spans="1:8" ht="12.75">
      <c r="A31" s="503"/>
      <c r="B31" s="126"/>
      <c r="C31" s="106" t="s">
        <v>147</v>
      </c>
      <c r="D31" s="32"/>
      <c r="E31" s="97" t="s">
        <v>149</v>
      </c>
      <c r="F31" s="338"/>
      <c r="G31" s="108"/>
      <c r="H31" s="56"/>
    </row>
    <row r="32" spans="1:8" ht="4.5" customHeight="1" thickBot="1">
      <c r="A32" s="503"/>
      <c r="B32" s="126"/>
      <c r="C32" s="106"/>
      <c r="D32" s="120"/>
      <c r="E32" s="97"/>
      <c r="F32" s="97"/>
      <c r="G32" s="339"/>
      <c r="H32" s="56"/>
    </row>
    <row r="33" spans="1:8" ht="13.5" thickTop="1">
      <c r="A33" s="503"/>
      <c r="B33" s="340" t="s">
        <v>133</v>
      </c>
      <c r="C33" s="341"/>
      <c r="D33" s="119"/>
      <c r="E33" s="118"/>
      <c r="F33" s="118"/>
      <c r="G33" s="342"/>
      <c r="H33" s="56"/>
    </row>
    <row r="34" spans="1:8" ht="12.75">
      <c r="A34" s="503"/>
      <c r="B34" s="131" t="s">
        <v>21</v>
      </c>
      <c r="C34" s="121" t="s">
        <v>22</v>
      </c>
      <c r="D34" s="506"/>
      <c r="E34" s="112" t="s">
        <v>2</v>
      </c>
      <c r="F34" s="343"/>
      <c r="G34" s="108"/>
      <c r="H34" s="321"/>
    </row>
    <row r="35" spans="1:8" ht="12.75">
      <c r="A35" s="503"/>
      <c r="B35" s="126" t="s">
        <v>24</v>
      </c>
      <c r="C35" s="106" t="s">
        <v>112</v>
      </c>
      <c r="D35" s="435">
        <f>IF(D34="","",D25+D34*(D26+D27))</f>
      </c>
      <c r="E35" s="97" t="s">
        <v>2</v>
      </c>
      <c r="F35" s="97"/>
      <c r="G35" s="108"/>
      <c r="H35" s="56"/>
    </row>
    <row r="36" spans="1:8" ht="12.75">
      <c r="A36" s="503"/>
      <c r="B36" s="126" t="s">
        <v>26</v>
      </c>
      <c r="C36" s="106" t="s">
        <v>7</v>
      </c>
      <c r="D36" s="436">
        <f>IF(D34="","",(D25+D35)/2*D34)</f>
      </c>
      <c r="E36" s="97" t="s">
        <v>28</v>
      </c>
      <c r="F36" s="97"/>
      <c r="G36" s="108"/>
      <c r="H36" s="56"/>
    </row>
    <row r="37" spans="1:8" ht="12.75">
      <c r="A37" s="503"/>
      <c r="B37" s="126" t="s">
        <v>31</v>
      </c>
      <c r="C37" s="106" t="s">
        <v>103</v>
      </c>
      <c r="D37" s="436">
        <f>IF(D34="","",D25+D34*((1+D26^2)^0.5+(1+D27^2)^0.5))</f>
      </c>
      <c r="E37" s="97" t="s">
        <v>2</v>
      </c>
      <c r="F37" s="97"/>
      <c r="G37" s="108"/>
      <c r="H37" s="56"/>
    </row>
    <row r="38" spans="1:8" ht="12.75">
      <c r="A38" s="503"/>
      <c r="B38" s="126" t="s">
        <v>29</v>
      </c>
      <c r="C38" s="106" t="s">
        <v>113</v>
      </c>
      <c r="D38" s="436">
        <f>IF(D34="","",D36/D37)</f>
      </c>
      <c r="E38" s="97" t="s">
        <v>2</v>
      </c>
      <c r="F38" s="97"/>
      <c r="G38" s="108"/>
      <c r="H38" s="56"/>
    </row>
    <row r="39" spans="1:8" ht="12.75">
      <c r="A39" s="503"/>
      <c r="B39" s="126" t="s">
        <v>37</v>
      </c>
      <c r="C39" s="106" t="s">
        <v>9</v>
      </c>
      <c r="D39" s="436">
        <f>IF(D34="","",1.49/D23*D38^(2/3)*D24^0.5)</f>
      </c>
      <c r="E39" s="97" t="s">
        <v>3</v>
      </c>
      <c r="F39" s="97"/>
      <c r="G39" s="108"/>
      <c r="H39" s="56"/>
    </row>
    <row r="40" spans="1:8" ht="12.75">
      <c r="A40" s="503"/>
      <c r="B40" s="126" t="s">
        <v>613</v>
      </c>
      <c r="C40" s="106" t="s">
        <v>334</v>
      </c>
      <c r="D40" s="436">
        <f>IF(D34="","",D39*D38)</f>
      </c>
      <c r="E40" s="97" t="s">
        <v>614</v>
      </c>
      <c r="F40" s="97"/>
      <c r="G40" s="108"/>
      <c r="H40" s="56"/>
    </row>
    <row r="41" spans="1:8" ht="12.75">
      <c r="A41" s="503"/>
      <c r="B41" s="126" t="s">
        <v>34</v>
      </c>
      <c r="C41" s="106" t="s">
        <v>51</v>
      </c>
      <c r="D41" s="436">
        <f>IF(D34="","",D36/D35)</f>
      </c>
      <c r="E41" s="97" t="s">
        <v>2</v>
      </c>
      <c r="F41" s="97"/>
      <c r="G41" s="108"/>
      <c r="H41" s="56"/>
    </row>
    <row r="42" spans="1:8" ht="12.75">
      <c r="A42" s="503"/>
      <c r="B42" s="131" t="s">
        <v>35</v>
      </c>
      <c r="C42" s="121" t="s">
        <v>36</v>
      </c>
      <c r="D42" s="434">
        <f>IF(D34="","",D39/(32.2*D41)^0.5)</f>
      </c>
      <c r="E42" s="112"/>
      <c r="F42" s="97"/>
      <c r="G42" s="108"/>
      <c r="H42" s="56"/>
    </row>
    <row r="43" spans="1:8" ht="12.75">
      <c r="A43" s="503"/>
      <c r="B43" s="131" t="s">
        <v>129</v>
      </c>
      <c r="C43" s="121" t="s">
        <v>33</v>
      </c>
      <c r="D43" s="520">
        <f>IF(D34="","",D39*D36)</f>
      </c>
      <c r="E43" s="112" t="s">
        <v>4</v>
      </c>
      <c r="F43" s="112"/>
      <c r="G43" s="108"/>
      <c r="H43" s="56"/>
    </row>
    <row r="44" spans="1:8" ht="6" customHeight="1" thickBot="1">
      <c r="A44" s="504"/>
      <c r="B44" s="344"/>
      <c r="C44" s="345"/>
      <c r="D44" s="346"/>
      <c r="E44" s="347"/>
      <c r="F44" s="345"/>
      <c r="G44" s="339"/>
      <c r="H44" s="56"/>
    </row>
    <row r="45" spans="1:8" ht="4.5" customHeight="1" thickTop="1">
      <c r="A45" s="504"/>
      <c r="B45" s="55"/>
      <c r="C45" s="55"/>
      <c r="D45" s="322"/>
      <c r="E45" s="56"/>
      <c r="F45" s="56"/>
      <c r="G45" s="56"/>
      <c r="H45" s="56"/>
    </row>
    <row r="46" spans="1:8" ht="12.75">
      <c r="A46" s="504"/>
      <c r="B46" s="145" t="s">
        <v>615</v>
      </c>
      <c r="C46" s="521">
        <v>6</v>
      </c>
      <c r="D46" s="322"/>
      <c r="E46" s="56"/>
      <c r="F46" s="56"/>
      <c r="G46" s="56"/>
      <c r="H46" s="56"/>
    </row>
    <row r="47" ht="12.75">
      <c r="A47" s="504"/>
    </row>
    <row r="48" ht="12.75">
      <c r="A48" s="504"/>
    </row>
    <row r="49" ht="12.75">
      <c r="A49" s="504"/>
    </row>
    <row r="50" ht="12.75">
      <c r="A50" s="504"/>
    </row>
    <row r="51" spans="2:3" ht="12.75">
      <c r="B51" s="145"/>
      <c r="C51" s="521"/>
    </row>
  </sheetData>
  <sheetProtection password="D2C3" sheet="1" objects="1" scenarios="1" formatCells="0" formatColumns="0" formatRows="0"/>
  <mergeCells count="9">
    <mergeCell ref="B4:G4"/>
    <mergeCell ref="B5:G5"/>
    <mergeCell ref="C17:D17"/>
    <mergeCell ref="A2:H2"/>
    <mergeCell ref="C18:D18"/>
    <mergeCell ref="C19:D19"/>
    <mergeCell ref="E17:G17"/>
    <mergeCell ref="E18:G18"/>
    <mergeCell ref="E19:G19"/>
  </mergeCells>
  <printOptions horizontalCentered="1"/>
  <pageMargins left="0.75" right="0.75" top="0.75" bottom="0.75" header="0.5" footer="0.5"/>
  <pageSetup fitToHeight="1" fitToWidth="1" horizontalDpi="300" verticalDpi="300" orientation="portrait" scale="94" r:id="rId4"/>
  <headerFooter alignWithMargins="0">
    <oddFooter>&amp;L&amp;F, &amp;A&amp;R&amp;D, &amp;T</oddFooter>
  </headerFooter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UDFCD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UDFCD</dc:creator>
  <cp:keywords>channel design,grass channel,open channel,SCS method,composite channel,steep channel,low flow channel</cp:keywords>
  <dc:description/>
  <cp:lastModifiedBy>Ken MacKenzie</cp:lastModifiedBy>
  <cp:lastPrinted>2006-10-18T14:25:03Z</cp:lastPrinted>
  <dcterms:created xsi:type="dcterms:W3CDTF">2000-03-13T17:48:37Z</dcterms:created>
  <dcterms:modified xsi:type="dcterms:W3CDTF">2006-12-27T17:42:00Z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